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087985E0-467F-41DF-B44C-B49D92B8BF46}" xr6:coauthVersionLast="47" xr6:coauthVersionMax="47" xr10:uidLastSave="{00000000-0000-0000-0000-000000000000}"/>
  <bookViews>
    <workbookView xWindow="-28920" yWindow="-120" windowWidth="29040" windowHeight="15720" tabRatio="820" firstSheet="1" activeTab="1" xr2:uid="{D1BAE0F8-F022-4A10-B44E-810600048B30}"/>
  </bookViews>
  <sheets>
    <sheet name="__FDSCACHE__" sheetId="26" state="veryHidden" r:id="rId1"/>
    <sheet name="Table" sheetId="11" r:id="rId2"/>
    <sheet name="Valuation" sheetId="24" r:id="rId3"/>
    <sheet name="IS" sheetId="9" r:id="rId4"/>
    <sheet name="BS" sheetId="10" r:id="rId5"/>
    <sheet name="CF" sheetId="17" r:id="rId6"/>
    <sheet name="Data" sheetId="27" r:id="rId7"/>
  </sheets>
  <externalReferences>
    <externalReference r:id="rId8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9" l="1"/>
  <c r="C75" i="9" s="1"/>
  <c r="C76" i="9" s="1"/>
  <c r="D67" i="9"/>
  <c r="E67" i="9"/>
  <c r="F67" i="9"/>
  <c r="C68" i="9"/>
  <c r="D68" i="9"/>
  <c r="D75" i="9" s="1"/>
  <c r="D76" i="9" s="1"/>
  <c r="E68" i="9"/>
  <c r="F68" i="9"/>
  <c r="F75" i="9" s="1"/>
  <c r="F76" i="9" s="1"/>
  <c r="C69" i="9"/>
  <c r="D69" i="9"/>
  <c r="E69" i="9"/>
  <c r="F69" i="9"/>
  <c r="C71" i="9"/>
  <c r="D71" i="9"/>
  <c r="E71" i="9"/>
  <c r="F71" i="9"/>
  <c r="C72" i="9"/>
  <c r="D72" i="9"/>
  <c r="E72" i="9"/>
  <c r="F72" i="9"/>
  <c r="C73" i="9"/>
  <c r="D73" i="9"/>
  <c r="E73" i="9"/>
  <c r="F73" i="9"/>
  <c r="E75" i="9"/>
  <c r="E76" i="9" s="1"/>
  <c r="K7" i="24"/>
  <c r="K6" i="24"/>
  <c r="K5" i="24"/>
  <c r="K4" i="24"/>
  <c r="T52" i="17"/>
  <c r="U52" i="17"/>
  <c r="S52" i="17"/>
  <c r="R52" i="17"/>
  <c r="Q52" i="17"/>
  <c r="O52" i="17"/>
  <c r="P52" i="17"/>
  <c r="O35" i="10"/>
  <c r="P35" i="10" s="1"/>
  <c r="L46" i="17"/>
  <c r="U40" i="10"/>
  <c r="U39" i="10"/>
  <c r="U34" i="10"/>
  <c r="U33" i="10"/>
  <c r="U32" i="10"/>
  <c r="U30" i="10"/>
  <c r="U29" i="10"/>
  <c r="U28" i="10"/>
  <c r="U27" i="10"/>
  <c r="U26" i="10"/>
  <c r="U25" i="10"/>
  <c r="U24" i="10"/>
  <c r="U23" i="10"/>
  <c r="U18" i="10"/>
  <c r="U17" i="10"/>
  <c r="U14" i="10"/>
  <c r="U11" i="10"/>
  <c r="U10" i="10"/>
  <c r="U9" i="10"/>
  <c r="U8" i="10"/>
  <c r="U7" i="10"/>
  <c r="T40" i="10"/>
  <c r="T39" i="10"/>
  <c r="T34" i="10"/>
  <c r="T33" i="10"/>
  <c r="T32" i="10"/>
  <c r="T29" i="10"/>
  <c r="T28" i="10"/>
  <c r="T27" i="10"/>
  <c r="T26" i="10"/>
  <c r="T25" i="10"/>
  <c r="T24" i="10"/>
  <c r="T23" i="10"/>
  <c r="T30" i="10" s="1"/>
  <c r="T18" i="10"/>
  <c r="T17" i="10"/>
  <c r="T14" i="10"/>
  <c r="T11" i="10"/>
  <c r="T10" i="10"/>
  <c r="T9" i="10"/>
  <c r="T8" i="10"/>
  <c r="T7" i="10"/>
  <c r="S40" i="10"/>
  <c r="S39" i="10"/>
  <c r="S34" i="10"/>
  <c r="S33" i="10"/>
  <c r="S32" i="10"/>
  <c r="S29" i="10"/>
  <c r="S30" i="10" s="1"/>
  <c r="S28" i="10"/>
  <c r="S27" i="10"/>
  <c r="S26" i="10"/>
  <c r="S25" i="10"/>
  <c r="S24" i="10"/>
  <c r="S23" i="10"/>
  <c r="S18" i="10"/>
  <c r="S17" i="10"/>
  <c r="S14" i="10"/>
  <c r="S11" i="10"/>
  <c r="S10" i="10"/>
  <c r="S9" i="10"/>
  <c r="S8" i="10"/>
  <c r="S7" i="10"/>
  <c r="R40" i="10"/>
  <c r="R39" i="10"/>
  <c r="R34" i="10"/>
  <c r="R33" i="10"/>
  <c r="R32" i="10"/>
  <c r="R29" i="10"/>
  <c r="R28" i="10"/>
  <c r="R27" i="10"/>
  <c r="R26" i="10"/>
  <c r="R25" i="10"/>
  <c r="R24" i="10"/>
  <c r="R23" i="10"/>
  <c r="R30" i="10" s="1"/>
  <c r="R18" i="10"/>
  <c r="R17" i="10"/>
  <c r="R14" i="10"/>
  <c r="R11" i="10"/>
  <c r="R10" i="10"/>
  <c r="R9" i="10"/>
  <c r="R8" i="10"/>
  <c r="R7" i="10"/>
  <c r="G37" i="17"/>
  <c r="E46" i="17"/>
  <c r="C7" i="11"/>
  <c r="G3" i="24" l="1"/>
  <c r="H3" i="24"/>
  <c r="H4" i="24"/>
  <c r="H17" i="24" s="1"/>
  <c r="H6" i="24"/>
  <c r="H19" i="24" s="1"/>
  <c r="G16" i="24"/>
  <c r="H16" i="24"/>
  <c r="O4" i="24"/>
  <c r="P4" i="24"/>
  <c r="O6" i="24"/>
  <c r="G6" i="24" s="1"/>
  <c r="G19" i="24" s="1"/>
  <c r="P6" i="24"/>
  <c r="O16" i="24"/>
  <c r="P16" i="24"/>
  <c r="E4" i="27" l="1"/>
  <c r="H4" i="27"/>
  <c r="H5" i="27"/>
  <c r="E5" i="27"/>
  <c r="N16" i="24"/>
  <c r="F3" i="24"/>
  <c r="F16" i="24" s="1"/>
  <c r="N4" i="24"/>
  <c r="G4" i="24" s="1"/>
  <c r="G17" i="24" s="1"/>
  <c r="S8" i="24"/>
  <c r="S21" i="24" s="1"/>
  <c r="S7" i="24"/>
  <c r="U35" i="9"/>
  <c r="T35" i="9"/>
  <c r="S35" i="9"/>
  <c r="R35" i="9"/>
  <c r="P35" i="9"/>
  <c r="O35" i="9"/>
  <c r="U33" i="9"/>
  <c r="T33" i="9"/>
  <c r="S33" i="9"/>
  <c r="R33" i="9"/>
  <c r="P33" i="9"/>
  <c r="O33" i="9"/>
  <c r="U31" i="9"/>
  <c r="T31" i="9"/>
  <c r="S31" i="9"/>
  <c r="R31" i="9"/>
  <c r="P31" i="9"/>
  <c r="O31" i="9"/>
  <c r="U29" i="9"/>
  <c r="T29" i="9"/>
  <c r="S29" i="9"/>
  <c r="R29" i="9"/>
  <c r="P29" i="9"/>
  <c r="O29" i="9"/>
  <c r="U27" i="9"/>
  <c r="T27" i="9"/>
  <c r="S27" i="9"/>
  <c r="R27" i="9"/>
  <c r="P27" i="9"/>
  <c r="O27" i="9"/>
  <c r="S20" i="24" l="1"/>
  <c r="C9" i="11"/>
  <c r="F5" i="27"/>
  <c r="F4" i="27"/>
  <c r="Q29" i="9"/>
  <c r="Q30" i="9" s="1"/>
  <c r="Q35" i="9"/>
  <c r="Q36" i="9" s="1"/>
  <c r="Q31" i="9"/>
  <c r="Q32" i="9" s="1"/>
  <c r="Q33" i="9"/>
  <c r="Q34" i="9" s="1"/>
  <c r="Q27" i="9"/>
  <c r="Q28" i="9" s="1"/>
  <c r="N52" i="17" l="1"/>
  <c r="N50" i="17"/>
  <c r="N42" i="17"/>
  <c r="N41" i="17"/>
  <c r="N40" i="17"/>
  <c r="N37" i="17"/>
  <c r="N36" i="17"/>
  <c r="N35" i="17"/>
  <c r="N34" i="17"/>
  <c r="N28" i="17"/>
  <c r="N25" i="17"/>
  <c r="N51" i="17" s="1"/>
  <c r="N14" i="17"/>
  <c r="N13" i="17"/>
  <c r="N12" i="17"/>
  <c r="N11" i="17"/>
  <c r="N10" i="17"/>
  <c r="N9" i="17"/>
  <c r="N8" i="17"/>
  <c r="N7" i="17"/>
  <c r="N6" i="17"/>
  <c r="N5" i="17"/>
  <c r="N2" i="17"/>
  <c r="N1" i="17"/>
  <c r="N52" i="10"/>
  <c r="N61" i="10" s="1"/>
  <c r="N57" i="10" s="1"/>
  <c r="N51" i="10"/>
  <c r="N59" i="10" s="1"/>
  <c r="N54" i="10" s="1"/>
  <c r="N50" i="10"/>
  <c r="N42" i="10"/>
  <c r="N30" i="10"/>
  <c r="N36" i="10" s="1"/>
  <c r="N11" i="10"/>
  <c r="N12" i="10" s="1"/>
  <c r="N19" i="10" s="1"/>
  <c r="N1" i="10"/>
  <c r="N48" i="9"/>
  <c r="N73" i="9"/>
  <c r="N72" i="9"/>
  <c r="N71" i="9"/>
  <c r="N70" i="9"/>
  <c r="Q70" i="9" s="1"/>
  <c r="N69" i="9"/>
  <c r="N68" i="9"/>
  <c r="N50" i="9"/>
  <c r="N41" i="9"/>
  <c r="N42" i="9" s="1"/>
  <c r="N16" i="9"/>
  <c r="N36" i="9" s="1"/>
  <c r="N13" i="9"/>
  <c r="N10" i="9"/>
  <c r="N7" i="9"/>
  <c r="N2" i="9"/>
  <c r="Q74" i="9"/>
  <c r="Q71" i="9"/>
  <c r="S71" i="9"/>
  <c r="T71" i="9"/>
  <c r="U71" i="9"/>
  <c r="R71" i="9"/>
  <c r="O71" i="9"/>
  <c r="P71" i="9"/>
  <c r="N53" i="17" l="1"/>
  <c r="N31" i="17"/>
  <c r="N45" i="10"/>
  <c r="N47" i="10" s="1"/>
  <c r="N60" i="10"/>
  <c r="N55" i="10" s="1"/>
  <c r="N21" i="9"/>
  <c r="N8" i="9"/>
  <c r="N23" i="9"/>
  <c r="N11" i="9"/>
  <c r="N28" i="9"/>
  <c r="N30" i="9"/>
  <c r="N14" i="9"/>
  <c r="N32" i="9"/>
  <c r="N34" i="9"/>
  <c r="N17" i="9"/>
  <c r="J73" i="9"/>
  <c r="J72" i="9"/>
  <c r="J71" i="9"/>
  <c r="J69" i="9"/>
  <c r="J68" i="9"/>
  <c r="I73" i="9"/>
  <c r="I72" i="9"/>
  <c r="I71" i="9"/>
  <c r="I69" i="9"/>
  <c r="I68" i="9"/>
  <c r="G73" i="9"/>
  <c r="G72" i="9"/>
  <c r="G71" i="9"/>
  <c r="G69" i="9"/>
  <c r="G68" i="9"/>
  <c r="L70" i="9"/>
  <c r="K74" i="9"/>
  <c r="K52" i="9"/>
  <c r="K68" i="9"/>
  <c r="L73" i="9"/>
  <c r="L72" i="9"/>
  <c r="L71" i="9"/>
  <c r="L69" i="9"/>
  <c r="L68" i="9"/>
  <c r="H73" i="9"/>
  <c r="H72" i="9"/>
  <c r="H71" i="9"/>
  <c r="H69" i="9"/>
  <c r="H68" i="9"/>
  <c r="M73" i="9"/>
  <c r="M72" i="9"/>
  <c r="M71" i="9"/>
  <c r="M69" i="9"/>
  <c r="M68" i="9"/>
  <c r="N24" i="9" l="1"/>
  <c r="N38" i="9"/>
  <c r="S17" i="24"/>
  <c r="K18" i="24"/>
  <c r="K19" i="24"/>
  <c r="K20" i="24"/>
  <c r="K17" i="24"/>
  <c r="L17" i="24" s="1"/>
  <c r="S18" i="24"/>
  <c r="S6" i="24"/>
  <c r="K12" i="24" l="1"/>
  <c r="N44" i="9"/>
  <c r="N45" i="9" s="1"/>
  <c r="N39" i="9"/>
  <c r="N51" i="9"/>
  <c r="S19" i="24"/>
  <c r="S22" i="24" s="1"/>
  <c r="S9" i="24"/>
  <c r="K25" i="24"/>
  <c r="O9" i="24" l="1"/>
  <c r="P9" i="24"/>
  <c r="P11" i="24"/>
  <c r="O11" i="24"/>
  <c r="N9" i="24"/>
  <c r="N55" i="9"/>
  <c r="N53" i="9"/>
  <c r="K23" i="24"/>
  <c r="K11" i="24"/>
  <c r="K24" i="24"/>
  <c r="K9" i="24"/>
  <c r="L22" i="24"/>
  <c r="K10" i="24"/>
  <c r="K22" i="24"/>
  <c r="N60" i="9" l="1"/>
  <c r="N56" i="9"/>
  <c r="P41" i="9"/>
  <c r="P32" i="10"/>
  <c r="O41" i="9"/>
  <c r="O12" i="9"/>
  <c r="O9" i="9"/>
  <c r="O6" i="9"/>
  <c r="O40" i="10"/>
  <c r="P40" i="10" s="1"/>
  <c r="O39" i="10"/>
  <c r="P39" i="10" s="1"/>
  <c r="O38" i="10"/>
  <c r="P38" i="10" s="1"/>
  <c r="O34" i="10"/>
  <c r="P34" i="10" s="1"/>
  <c r="O33" i="10"/>
  <c r="P33" i="10" s="1"/>
  <c r="O32" i="10"/>
  <c r="O29" i="10"/>
  <c r="P29" i="10" s="1"/>
  <c r="O28" i="10"/>
  <c r="P28" i="10" s="1"/>
  <c r="O27" i="10"/>
  <c r="P27" i="10" s="1"/>
  <c r="O26" i="10"/>
  <c r="P26" i="10" s="1"/>
  <c r="Q26" i="10" s="1"/>
  <c r="O25" i="10"/>
  <c r="P25" i="10" s="1"/>
  <c r="O24" i="10"/>
  <c r="P24" i="10" s="1"/>
  <c r="O18" i="10"/>
  <c r="P18" i="10" s="1"/>
  <c r="O17" i="10"/>
  <c r="P17" i="10" s="1"/>
  <c r="O16" i="10"/>
  <c r="P16" i="10" s="1"/>
  <c r="O15" i="10"/>
  <c r="P15" i="10" s="1"/>
  <c r="O11" i="10"/>
  <c r="P11" i="10" s="1"/>
  <c r="O10" i="10"/>
  <c r="P10" i="10" s="1"/>
  <c r="O7" i="10"/>
  <c r="P7" i="10" s="1"/>
  <c r="Q37" i="17"/>
  <c r="Q38" i="17"/>
  <c r="Q30" i="17"/>
  <c r="Q20" i="17"/>
  <c r="Q14" i="17"/>
  <c r="Q50" i="9"/>
  <c r="Q49" i="9"/>
  <c r="K62" i="9"/>
  <c r="K20" i="9"/>
  <c r="K9" i="9"/>
  <c r="P9" i="9" s="1"/>
  <c r="K6" i="9"/>
  <c r="P6" i="9" s="1"/>
  <c r="K12" i="9"/>
  <c r="P12" i="9" s="1"/>
  <c r="K35" i="9"/>
  <c r="K33" i="9"/>
  <c r="K72" i="9" s="1"/>
  <c r="K31" i="9"/>
  <c r="K73" i="9" s="1"/>
  <c r="K29" i="9"/>
  <c r="K27" i="9"/>
  <c r="M35" i="17"/>
  <c r="M40" i="17"/>
  <c r="M7" i="17"/>
  <c r="M11" i="10"/>
  <c r="C34" i="17"/>
  <c r="C41" i="17" s="1"/>
  <c r="D34" i="17"/>
  <c r="D41" i="17" s="1"/>
  <c r="C21" i="17"/>
  <c r="H15" i="17"/>
  <c r="I15" i="17"/>
  <c r="J15" i="17"/>
  <c r="K15" i="17"/>
  <c r="D6" i="17"/>
  <c r="M52" i="17"/>
  <c r="M51" i="17"/>
  <c r="L52" i="17"/>
  <c r="D52" i="17"/>
  <c r="E52" i="17"/>
  <c r="F52" i="17"/>
  <c r="G52" i="17"/>
  <c r="C52" i="17"/>
  <c r="A52" i="17"/>
  <c r="A51" i="17"/>
  <c r="E34" i="17"/>
  <c r="F34" i="17"/>
  <c r="P2" i="17"/>
  <c r="O2" i="17"/>
  <c r="M2" i="17"/>
  <c r="H1" i="17"/>
  <c r="I1" i="17"/>
  <c r="J1" i="17"/>
  <c r="K1" i="17"/>
  <c r="D2" i="17"/>
  <c r="E2" i="17"/>
  <c r="F2" i="17"/>
  <c r="G2" i="17"/>
  <c r="H2" i="17"/>
  <c r="I2" i="17"/>
  <c r="J2" i="17"/>
  <c r="K2" i="17"/>
  <c r="L2" i="17"/>
  <c r="C2" i="17"/>
  <c r="C51" i="17"/>
  <c r="C31" i="17"/>
  <c r="C7" i="17"/>
  <c r="D51" i="17"/>
  <c r="D31" i="17"/>
  <c r="D7" i="17"/>
  <c r="G40" i="17"/>
  <c r="G35" i="17"/>
  <c r="G34" i="17"/>
  <c r="L35" i="17"/>
  <c r="L37" i="17"/>
  <c r="L40" i="17"/>
  <c r="L34" i="17"/>
  <c r="G30" i="17"/>
  <c r="M6" i="17"/>
  <c r="Q42" i="17"/>
  <c r="E7" i="17"/>
  <c r="E6" i="17"/>
  <c r="F7" i="17"/>
  <c r="F6" i="17"/>
  <c r="G7" i="17"/>
  <c r="G6" i="17"/>
  <c r="L7" i="17"/>
  <c r="L6" i="17"/>
  <c r="M52" i="10"/>
  <c r="L52" i="10"/>
  <c r="G52" i="10"/>
  <c r="G61" i="10" s="1"/>
  <c r="F52" i="10"/>
  <c r="E52" i="10"/>
  <c r="D52" i="10"/>
  <c r="D61" i="10" s="1"/>
  <c r="C52" i="10"/>
  <c r="C61" i="10" s="1"/>
  <c r="D40" i="10"/>
  <c r="C17" i="10"/>
  <c r="C1" i="10"/>
  <c r="C1" i="17" s="1"/>
  <c r="C57" i="10"/>
  <c r="C55" i="10"/>
  <c r="C54" i="10"/>
  <c r="C50" i="10"/>
  <c r="C42" i="10"/>
  <c r="C30" i="10"/>
  <c r="C36" i="10" s="1"/>
  <c r="C12" i="10"/>
  <c r="D57" i="10"/>
  <c r="D55" i="10"/>
  <c r="D54" i="10"/>
  <c r="D50" i="10"/>
  <c r="D42" i="10"/>
  <c r="D30" i="10"/>
  <c r="D36" i="10" s="1"/>
  <c r="D12" i="10"/>
  <c r="D19" i="10" s="1"/>
  <c r="D50" i="9"/>
  <c r="C48" i="9"/>
  <c r="D48" i="9"/>
  <c r="C41" i="9"/>
  <c r="E50" i="9"/>
  <c r="C16" i="9"/>
  <c r="C36" i="9" s="1"/>
  <c r="D7" i="9"/>
  <c r="D13" i="9"/>
  <c r="D2" i="9"/>
  <c r="E2" i="9" s="1"/>
  <c r="F2" i="9" s="1"/>
  <c r="G2" i="9" s="1"/>
  <c r="H2" i="9" s="1"/>
  <c r="I2" i="9" s="1"/>
  <c r="J2" i="9" s="1"/>
  <c r="K2" i="9" s="1"/>
  <c r="L2" i="9" s="1"/>
  <c r="M2" i="9" s="1"/>
  <c r="M1" i="10" s="1"/>
  <c r="M1" i="17" s="1"/>
  <c r="M16" i="9"/>
  <c r="M23" i="9" s="1"/>
  <c r="M38" i="9" s="1"/>
  <c r="L16" i="9"/>
  <c r="L34" i="9" s="1"/>
  <c r="J16" i="9"/>
  <c r="J23" i="9" s="1"/>
  <c r="J38" i="9" s="1"/>
  <c r="I16" i="9"/>
  <c r="I23" i="9" s="1"/>
  <c r="I38" i="9" s="1"/>
  <c r="H16" i="9"/>
  <c r="H23" i="9" s="1"/>
  <c r="H38" i="9" s="1"/>
  <c r="G16" i="9"/>
  <c r="G23" i="9" s="1"/>
  <c r="G38" i="9" s="1"/>
  <c r="F16" i="9"/>
  <c r="F23" i="9" s="1"/>
  <c r="F38" i="9" s="1"/>
  <c r="E16" i="9"/>
  <c r="E23" i="9" s="1"/>
  <c r="E38" i="9" s="1"/>
  <c r="D16" i="9"/>
  <c r="D23" i="9" s="1"/>
  <c r="D38" i="9" s="1"/>
  <c r="N67" i="9" l="1"/>
  <c r="N75" i="9" s="1"/>
  <c r="N76" i="9" s="1"/>
  <c r="N64" i="9"/>
  <c r="G11" i="9"/>
  <c r="H11" i="9"/>
  <c r="E8" i="9"/>
  <c r="L14" i="9"/>
  <c r="I11" i="9"/>
  <c r="D8" i="9"/>
  <c r="G8" i="9"/>
  <c r="L11" i="9"/>
  <c r="J11" i="9"/>
  <c r="F8" i="9"/>
  <c r="L8" i="9"/>
  <c r="D14" i="9"/>
  <c r="M8" i="9"/>
  <c r="H14" i="9"/>
  <c r="F14" i="9"/>
  <c r="M11" i="9"/>
  <c r="I14" i="9"/>
  <c r="C14" i="9"/>
  <c r="E14" i="9"/>
  <c r="M14" i="9"/>
  <c r="J8" i="9"/>
  <c r="J14" i="9"/>
  <c r="C8" i="9"/>
  <c r="G14" i="9"/>
  <c r="H8" i="9"/>
  <c r="I8" i="9"/>
  <c r="O16" i="9"/>
  <c r="O73" i="9" s="1"/>
  <c r="P16" i="9"/>
  <c r="Q16" i="10"/>
  <c r="R16" i="10" s="1"/>
  <c r="S16" i="10" s="1"/>
  <c r="T16" i="10" s="1"/>
  <c r="U16" i="10" s="1"/>
  <c r="C34" i="9"/>
  <c r="C42" i="9"/>
  <c r="Q9" i="9"/>
  <c r="C21" i="9"/>
  <c r="C23" i="9"/>
  <c r="C24" i="9" s="1"/>
  <c r="C30" i="9"/>
  <c r="Q6" i="9"/>
  <c r="D51" i="10"/>
  <c r="D59" i="10" s="1"/>
  <c r="C51" i="10"/>
  <c r="C59" i="10" s="1"/>
  <c r="Q12" i="9"/>
  <c r="C28" i="9"/>
  <c r="G1" i="10"/>
  <c r="G1" i="17" s="1"/>
  <c r="C32" i="9"/>
  <c r="E1" i="10"/>
  <c r="E1" i="17" s="1"/>
  <c r="D1" i="10"/>
  <c r="D1" i="17" s="1"/>
  <c r="C50" i="17"/>
  <c r="C53" i="17" s="1"/>
  <c r="F1" i="10"/>
  <c r="F1" i="17" s="1"/>
  <c r="L1" i="10"/>
  <c r="L1" i="17" s="1"/>
  <c r="K16" i="9"/>
  <c r="K34" i="9" s="1"/>
  <c r="D60" i="10"/>
  <c r="M50" i="17"/>
  <c r="M53" i="17" s="1"/>
  <c r="D50" i="17"/>
  <c r="D53" i="17" s="1"/>
  <c r="C19" i="10"/>
  <c r="C45" i="10"/>
  <c r="C60" i="10"/>
  <c r="D45" i="10"/>
  <c r="D47" i="10" s="1"/>
  <c r="G34" i="9"/>
  <c r="M34" i="9"/>
  <c r="D17" i="9"/>
  <c r="D34" i="9"/>
  <c r="J34" i="9"/>
  <c r="H34" i="9"/>
  <c r="I34" i="9"/>
  <c r="L23" i="9"/>
  <c r="E34" i="9"/>
  <c r="F34" i="9"/>
  <c r="Q24" i="10"/>
  <c r="Q29" i="17"/>
  <c r="R12" i="9" l="1"/>
  <c r="Q7" i="9"/>
  <c r="R6" i="9"/>
  <c r="Q10" i="9"/>
  <c r="O8" i="9"/>
  <c r="K8" i="9"/>
  <c r="O14" i="9"/>
  <c r="O17" i="9"/>
  <c r="P11" i="9"/>
  <c r="P8" i="9"/>
  <c r="O11" i="9"/>
  <c r="K14" i="9"/>
  <c r="P14" i="9"/>
  <c r="K11" i="9"/>
  <c r="P23" i="9"/>
  <c r="O23" i="9"/>
  <c r="O20" i="9" s="1"/>
  <c r="O21" i="9" s="1"/>
  <c r="R9" i="9"/>
  <c r="O72" i="9"/>
  <c r="O42" i="9"/>
  <c r="P42" i="9"/>
  <c r="P17" i="9"/>
  <c r="Q13" i="9"/>
  <c r="S12" i="9"/>
  <c r="Q16" i="9"/>
  <c r="L4" i="24" s="1"/>
  <c r="L9" i="24" s="1"/>
  <c r="C38" i="9"/>
  <c r="L38" i="9"/>
  <c r="K23" i="9"/>
  <c r="K38" i="9" s="1"/>
  <c r="O2" i="9"/>
  <c r="O1" i="10" s="1"/>
  <c r="O1" i="17" s="1"/>
  <c r="O6" i="17"/>
  <c r="C47" i="10"/>
  <c r="J21" i="9"/>
  <c r="M21" i="9"/>
  <c r="M13" i="9"/>
  <c r="M10" i="9"/>
  <c r="M7" i="9"/>
  <c r="Q7" i="10"/>
  <c r="K45" i="10"/>
  <c r="J45" i="10"/>
  <c r="I45" i="10"/>
  <c r="H45" i="10"/>
  <c r="L30" i="10"/>
  <c r="L41" i="9"/>
  <c r="G41" i="9"/>
  <c r="F41" i="9"/>
  <c r="E41" i="9"/>
  <c r="D41" i="9"/>
  <c r="E13" i="9"/>
  <c r="E7" i="9"/>
  <c r="F7" i="9"/>
  <c r="F13" i="9"/>
  <c r="G13" i="9"/>
  <c r="G7" i="9"/>
  <c r="L7" i="9"/>
  <c r="L10" i="9"/>
  <c r="L13" i="9"/>
  <c r="L36" i="9"/>
  <c r="Q40" i="17"/>
  <c r="Q26" i="17"/>
  <c r="Q27" i="17"/>
  <c r="Q28" i="17"/>
  <c r="K49" i="9"/>
  <c r="K71" i="9" s="1"/>
  <c r="E48" i="9"/>
  <c r="F48" i="9"/>
  <c r="G48" i="9"/>
  <c r="L48" i="9"/>
  <c r="M48" i="9"/>
  <c r="Q27" i="10"/>
  <c r="Q28" i="10"/>
  <c r="Q33" i="10"/>
  <c r="Q18" i="10"/>
  <c r="O62" i="9"/>
  <c r="P62" i="9" s="1"/>
  <c r="Q62" i="9" s="1"/>
  <c r="K19" i="10"/>
  <c r="J19" i="10"/>
  <c r="I19" i="10"/>
  <c r="H19" i="10"/>
  <c r="Q8" i="17"/>
  <c r="Q9" i="17"/>
  <c r="Q10" i="17"/>
  <c r="Q40" i="10"/>
  <c r="Q39" i="10"/>
  <c r="Q35" i="10"/>
  <c r="R35" i="10" s="1"/>
  <c r="S35" i="10" s="1"/>
  <c r="T35" i="10" s="1"/>
  <c r="U35" i="10" s="1"/>
  <c r="Q34" i="10"/>
  <c r="Q32" i="10"/>
  <c r="Q25" i="10"/>
  <c r="Q17" i="10"/>
  <c r="Q15" i="10"/>
  <c r="R15" i="10" s="1"/>
  <c r="S15" i="10" s="1"/>
  <c r="T15" i="10" s="1"/>
  <c r="U15" i="10" s="1"/>
  <c r="O41" i="17"/>
  <c r="P41" i="17"/>
  <c r="Q34" i="17"/>
  <c r="Q35" i="17"/>
  <c r="Q36" i="17"/>
  <c r="Q39" i="17"/>
  <c r="Q11" i="17"/>
  <c r="Q12" i="17"/>
  <c r="M41" i="17"/>
  <c r="M31" i="17"/>
  <c r="M57" i="10"/>
  <c r="L57" i="10"/>
  <c r="M55" i="10"/>
  <c r="M54" i="10"/>
  <c r="O50" i="10"/>
  <c r="P50" i="10"/>
  <c r="M50" i="10"/>
  <c r="M12" i="10"/>
  <c r="M19" i="10" s="1"/>
  <c r="M42" i="10"/>
  <c r="M30" i="10"/>
  <c r="M36" i="10" s="1"/>
  <c r="H30" i="9"/>
  <c r="R41" i="17"/>
  <c r="S41" i="17"/>
  <c r="T41" i="17"/>
  <c r="U41" i="17"/>
  <c r="Q41" i="17" l="1"/>
  <c r="R36" i="10"/>
  <c r="Q11" i="9"/>
  <c r="D4" i="24"/>
  <c r="Q8" i="9"/>
  <c r="Q14" i="9"/>
  <c r="O7" i="17"/>
  <c r="P7" i="17"/>
  <c r="P72" i="9"/>
  <c r="Q72" i="9" s="1"/>
  <c r="P6" i="17"/>
  <c r="P73" i="9"/>
  <c r="Q73" i="9" s="1"/>
  <c r="P38" i="9"/>
  <c r="P44" i="9" s="1"/>
  <c r="P45" i="9" s="1"/>
  <c r="S6" i="9"/>
  <c r="O38" i="9"/>
  <c r="O44" i="9" s="1"/>
  <c r="O45" i="9" s="1"/>
  <c r="P20" i="9"/>
  <c r="P21" i="9" s="1"/>
  <c r="S9" i="9"/>
  <c r="O52" i="10"/>
  <c r="R16" i="9"/>
  <c r="C39" i="9"/>
  <c r="C51" i="9"/>
  <c r="C44" i="9"/>
  <c r="C45" i="9" s="1"/>
  <c r="T12" i="9"/>
  <c r="P2" i="9"/>
  <c r="Q2" i="9" s="1"/>
  <c r="R2" i="9" s="1"/>
  <c r="Q23" i="9"/>
  <c r="M30" i="9"/>
  <c r="H32" i="9"/>
  <c r="M51" i="10"/>
  <c r="M59" i="10" s="1"/>
  <c r="G21" i="9"/>
  <c r="M39" i="9"/>
  <c r="F21" i="9"/>
  <c r="E21" i="9"/>
  <c r="D21" i="9"/>
  <c r="M36" i="9"/>
  <c r="I21" i="9"/>
  <c r="M32" i="9"/>
  <c r="C8" i="11"/>
  <c r="J30" i="9"/>
  <c r="J36" i="9"/>
  <c r="J32" i="9"/>
  <c r="I28" i="9"/>
  <c r="I36" i="9"/>
  <c r="I30" i="9"/>
  <c r="I32" i="9"/>
  <c r="H51" i="9"/>
  <c r="H21" i="9"/>
  <c r="M17" i="9"/>
  <c r="H28" i="9"/>
  <c r="H36" i="9"/>
  <c r="M45" i="10"/>
  <c r="M47" i="10" s="1"/>
  <c r="L21" i="9"/>
  <c r="P47" i="9"/>
  <c r="P69" i="9" s="1"/>
  <c r="O47" i="9"/>
  <c r="O69" i="9" s="1"/>
  <c r="I41" i="9"/>
  <c r="I42" i="9" s="1"/>
  <c r="J41" i="9"/>
  <c r="J42" i="9" s="1"/>
  <c r="H41" i="9"/>
  <c r="H42" i="9" s="1"/>
  <c r="R62" i="9"/>
  <c r="P18" i="17"/>
  <c r="Q29" i="10"/>
  <c r="Q38" i="10"/>
  <c r="R38" i="10" s="1"/>
  <c r="S38" i="10" s="1"/>
  <c r="T38" i="10" s="1"/>
  <c r="U38" i="10" s="1"/>
  <c r="J28" i="9"/>
  <c r="M28" i="9"/>
  <c r="S36" i="10" l="1"/>
  <c r="Q69" i="9"/>
  <c r="R11" i="9"/>
  <c r="M4" i="24"/>
  <c r="F4" i="24" s="1"/>
  <c r="F17" i="24" s="1"/>
  <c r="S16" i="9"/>
  <c r="P39" i="9"/>
  <c r="Q20" i="9"/>
  <c r="Q52" i="10" s="1"/>
  <c r="P52" i="10"/>
  <c r="T9" i="9"/>
  <c r="R14" i="9"/>
  <c r="R8" i="9"/>
  <c r="T6" i="9"/>
  <c r="O39" i="9"/>
  <c r="R17" i="9"/>
  <c r="R23" i="9"/>
  <c r="Q47" i="9"/>
  <c r="C55" i="9"/>
  <c r="C53" i="9"/>
  <c r="U12" i="9"/>
  <c r="P1" i="10"/>
  <c r="P1" i="17" s="1"/>
  <c r="S2" i="9"/>
  <c r="R1" i="10"/>
  <c r="R1" i="17" s="1"/>
  <c r="I24" i="9"/>
  <c r="E51" i="9"/>
  <c r="E24" i="9"/>
  <c r="M51" i="9"/>
  <c r="M55" i="9" s="1"/>
  <c r="M24" i="9"/>
  <c r="J24" i="9"/>
  <c r="F24" i="9"/>
  <c r="F51" i="9"/>
  <c r="G51" i="9"/>
  <c r="G24" i="9"/>
  <c r="K24" i="9"/>
  <c r="H24" i="9"/>
  <c r="O50" i="17"/>
  <c r="O51" i="17" s="1"/>
  <c r="O25" i="17" s="1"/>
  <c r="O14" i="10" s="1"/>
  <c r="K21" i="9"/>
  <c r="O51" i="10"/>
  <c r="O54" i="10" s="1"/>
  <c r="O8" i="10" s="1"/>
  <c r="M61" i="10"/>
  <c r="M41" i="9"/>
  <c r="K28" i="9"/>
  <c r="K36" i="9"/>
  <c r="P51" i="10"/>
  <c r="P54" i="10" s="1"/>
  <c r="K32" i="9"/>
  <c r="P50" i="17"/>
  <c r="P51" i="17" s="1"/>
  <c r="P25" i="17" s="1"/>
  <c r="K30" i="9"/>
  <c r="J39" i="9"/>
  <c r="J51" i="9"/>
  <c r="J55" i="9" s="1"/>
  <c r="I44" i="9"/>
  <c r="I45" i="9" s="1"/>
  <c r="I51" i="9"/>
  <c r="I55" i="9" s="1"/>
  <c r="N57" i="9" s="1"/>
  <c r="I39" i="9"/>
  <c r="M60" i="10"/>
  <c r="S62" i="9"/>
  <c r="K41" i="9"/>
  <c r="K42" i="9" s="1"/>
  <c r="J44" i="9"/>
  <c r="J45" i="9" s="1"/>
  <c r="O18" i="17"/>
  <c r="Q18" i="17" s="1"/>
  <c r="Q10" i="10"/>
  <c r="H39" i="9"/>
  <c r="H44" i="9"/>
  <c r="H45" i="9" s="1"/>
  <c r="Q13" i="17"/>
  <c r="U36" i="10" l="1"/>
  <c r="T36" i="10"/>
  <c r="R20" i="9"/>
  <c r="R21" i="9" s="1"/>
  <c r="S14" i="9"/>
  <c r="S7" i="17"/>
  <c r="E4" i="24"/>
  <c r="E17" i="24" s="1"/>
  <c r="M17" i="24" s="1"/>
  <c r="M9" i="24"/>
  <c r="S17" i="9"/>
  <c r="S23" i="9"/>
  <c r="S73" i="9"/>
  <c r="S11" i="9"/>
  <c r="S8" i="9"/>
  <c r="R6" i="17"/>
  <c r="R73" i="9"/>
  <c r="R7" i="17"/>
  <c r="R72" i="9"/>
  <c r="Q48" i="9"/>
  <c r="U6" i="9"/>
  <c r="T16" i="9"/>
  <c r="U9" i="9"/>
  <c r="P31" i="17"/>
  <c r="P14" i="10"/>
  <c r="P8" i="10"/>
  <c r="P16" i="17" s="1"/>
  <c r="R18" i="17"/>
  <c r="R38" i="9"/>
  <c r="M6" i="24" s="1"/>
  <c r="R52" i="10"/>
  <c r="C60" i="9"/>
  <c r="C64" i="9" s="1"/>
  <c r="C5" i="17"/>
  <c r="C15" i="17" s="1"/>
  <c r="C22" i="17" s="1"/>
  <c r="C44" i="17" s="1"/>
  <c r="C46" i="17" s="1"/>
  <c r="D46" i="17" s="1"/>
  <c r="C56" i="9"/>
  <c r="Q1" i="10"/>
  <c r="Q1" i="17" s="1"/>
  <c r="O31" i="17"/>
  <c r="T2" i="9"/>
  <c r="S1" i="10"/>
  <c r="S1" i="17" s="1"/>
  <c r="M53" i="9"/>
  <c r="O55" i="10"/>
  <c r="O9" i="10" s="1"/>
  <c r="K39" i="9"/>
  <c r="Q7" i="17"/>
  <c r="Q17" i="9"/>
  <c r="M42" i="9"/>
  <c r="M44" i="9"/>
  <c r="M45" i="9" s="1"/>
  <c r="Q50" i="17"/>
  <c r="I53" i="9"/>
  <c r="J53" i="9"/>
  <c r="M60" i="9"/>
  <c r="M67" i="9" s="1"/>
  <c r="M75" i="9" s="1"/>
  <c r="M76" i="9" s="1"/>
  <c r="T62" i="9"/>
  <c r="I60" i="9"/>
  <c r="I67" i="9" s="1"/>
  <c r="I75" i="9" s="1"/>
  <c r="I76" i="9" s="1"/>
  <c r="J60" i="9"/>
  <c r="J67" i="9" s="1"/>
  <c r="J75" i="9" s="1"/>
  <c r="J76" i="9" s="1"/>
  <c r="Q21" i="17"/>
  <c r="H53" i="9"/>
  <c r="H55" i="9"/>
  <c r="M57" i="9" s="1"/>
  <c r="M56" i="9"/>
  <c r="M5" i="17"/>
  <c r="M15" i="17" s="1"/>
  <c r="N15" i="17" s="1"/>
  <c r="N22" i="17" s="1"/>
  <c r="N44" i="17" s="1"/>
  <c r="Q51" i="17"/>
  <c r="Q11" i="10"/>
  <c r="J56" i="9"/>
  <c r="I56" i="9"/>
  <c r="N17" i="24" l="1"/>
  <c r="M22" i="24"/>
  <c r="S20" i="9"/>
  <c r="T14" i="9"/>
  <c r="S6" i="17"/>
  <c r="S38" i="9"/>
  <c r="N6" i="24" s="1"/>
  <c r="S72" i="9"/>
  <c r="U16" i="9"/>
  <c r="T11" i="9"/>
  <c r="T23" i="9"/>
  <c r="T8" i="9"/>
  <c r="T17" i="9"/>
  <c r="Q8" i="10"/>
  <c r="Q31" i="17"/>
  <c r="S18" i="17"/>
  <c r="S52" i="10"/>
  <c r="S21" i="9"/>
  <c r="U2" i="9"/>
  <c r="U1" i="10" s="1"/>
  <c r="U1" i="17" s="1"/>
  <c r="T1" i="10"/>
  <c r="T1" i="17" s="1"/>
  <c r="K44" i="9"/>
  <c r="K45" i="9" s="1"/>
  <c r="Q21" i="9"/>
  <c r="O16" i="17"/>
  <c r="Q16" i="17" s="1"/>
  <c r="O57" i="10"/>
  <c r="O23" i="10" s="1"/>
  <c r="O30" i="10" s="1"/>
  <c r="O36" i="10" s="1"/>
  <c r="Q6" i="17"/>
  <c r="M64" i="9"/>
  <c r="I64" i="9"/>
  <c r="J64" i="9"/>
  <c r="H60" i="9"/>
  <c r="H67" i="9" s="1"/>
  <c r="H75" i="9" s="1"/>
  <c r="M22" i="17"/>
  <c r="M44" i="17" s="1"/>
  <c r="U62" i="9"/>
  <c r="H56" i="9"/>
  <c r="Q25" i="17"/>
  <c r="E41" i="17"/>
  <c r="G41" i="17"/>
  <c r="L41" i="17"/>
  <c r="F51" i="17"/>
  <c r="G51" i="17"/>
  <c r="L51" i="17"/>
  <c r="E50" i="17"/>
  <c r="F50" i="17"/>
  <c r="G50" i="17"/>
  <c r="L50" i="17"/>
  <c r="F54" i="10"/>
  <c r="G54" i="10"/>
  <c r="L54" i="10"/>
  <c r="F55" i="10"/>
  <c r="G55" i="10"/>
  <c r="L55" i="10"/>
  <c r="F57" i="10"/>
  <c r="G57" i="10"/>
  <c r="E57" i="10"/>
  <c r="E55" i="10"/>
  <c r="E54" i="10"/>
  <c r="G17" i="9"/>
  <c r="G28" i="9"/>
  <c r="G30" i="9"/>
  <c r="G32" i="9"/>
  <c r="G36" i="9"/>
  <c r="G42" i="9"/>
  <c r="O17" i="24" l="1"/>
  <c r="N22" i="24"/>
  <c r="F6" i="24"/>
  <c r="F19" i="24" s="1"/>
  <c r="N19" i="24" s="1"/>
  <c r="N24" i="24" s="1"/>
  <c r="N11" i="24"/>
  <c r="T20" i="9"/>
  <c r="U72" i="9"/>
  <c r="U73" i="9"/>
  <c r="W16" i="9"/>
  <c r="U17" i="9"/>
  <c r="U23" i="9"/>
  <c r="U8" i="9"/>
  <c r="U11" i="9"/>
  <c r="U14" i="9"/>
  <c r="T7" i="17"/>
  <c r="T72" i="9"/>
  <c r="T6" i="17"/>
  <c r="T73" i="9"/>
  <c r="H76" i="9"/>
  <c r="T38" i="9"/>
  <c r="U18" i="17"/>
  <c r="T18" i="17"/>
  <c r="T52" i="10"/>
  <c r="T21" i="9"/>
  <c r="L53" i="17"/>
  <c r="F53" i="17"/>
  <c r="G53" i="17"/>
  <c r="O51" i="9"/>
  <c r="O52" i="9" s="1"/>
  <c r="O68" i="9" s="1"/>
  <c r="P51" i="9"/>
  <c r="P52" i="9" s="1"/>
  <c r="P68" i="9" s="1"/>
  <c r="P55" i="10"/>
  <c r="P9" i="10" s="1"/>
  <c r="P57" i="10"/>
  <c r="P23" i="10" s="1"/>
  <c r="P30" i="10" s="1"/>
  <c r="P36" i="10" s="1"/>
  <c r="H64" i="9"/>
  <c r="K47" i="9"/>
  <c r="G44" i="9"/>
  <c r="G45" i="9" s="1"/>
  <c r="R47" i="9"/>
  <c r="F41" i="17"/>
  <c r="L31" i="17"/>
  <c r="F31" i="17"/>
  <c r="G31" i="17"/>
  <c r="P17" i="24" l="1"/>
  <c r="O19" i="24"/>
  <c r="O24" i="24" s="1"/>
  <c r="O22" i="24"/>
  <c r="U20" i="9"/>
  <c r="U21" i="9" s="1"/>
  <c r="R69" i="9"/>
  <c r="U7" i="17"/>
  <c r="U52" i="10"/>
  <c r="U6" i="17"/>
  <c r="U38" i="9"/>
  <c r="K51" i="9"/>
  <c r="K53" i="9" s="1"/>
  <c r="K69" i="9"/>
  <c r="P55" i="9"/>
  <c r="O55" i="9"/>
  <c r="Q23" i="10"/>
  <c r="P19" i="17"/>
  <c r="Q9" i="10"/>
  <c r="P17" i="17"/>
  <c r="G39" i="9"/>
  <c r="S47" i="9"/>
  <c r="P19" i="24" l="1"/>
  <c r="P24" i="24" s="1"/>
  <c r="P22" i="24"/>
  <c r="K55" i="9"/>
  <c r="P57" i="9" s="1"/>
  <c r="S69" i="9"/>
  <c r="O57" i="9"/>
  <c r="P56" i="9"/>
  <c r="P5" i="17"/>
  <c r="P15" i="17" s="1"/>
  <c r="P22" i="17" s="1"/>
  <c r="P44" i="17" s="1"/>
  <c r="P60" i="9"/>
  <c r="P67" i="9" s="1"/>
  <c r="P75" i="9" s="1"/>
  <c r="P76" i="9" s="1"/>
  <c r="O5" i="17"/>
  <c r="O15" i="17" s="1"/>
  <c r="O60" i="9"/>
  <c r="O67" i="9" s="1"/>
  <c r="O75" i="9" s="1"/>
  <c r="O56" i="9"/>
  <c r="G53" i="9"/>
  <c r="G55" i="9"/>
  <c r="Q14" i="10"/>
  <c r="K56" i="9"/>
  <c r="T47" i="9"/>
  <c r="O76" i="9" l="1"/>
  <c r="Q75" i="9"/>
  <c r="T69" i="9"/>
  <c r="P64" i="9"/>
  <c r="O64" i="9"/>
  <c r="G5" i="17"/>
  <c r="G60" i="9"/>
  <c r="G67" i="9" s="1"/>
  <c r="G75" i="9" s="1"/>
  <c r="G76" i="9" s="1"/>
  <c r="U47" i="9"/>
  <c r="U69" i="9" l="1"/>
  <c r="G15" i="17"/>
  <c r="G22" i="17" s="1"/>
  <c r="G44" i="17" s="1"/>
  <c r="G64" i="9"/>
  <c r="E12" i="10" l="1"/>
  <c r="E19" i="10" s="1"/>
  <c r="L42" i="9" l="1"/>
  <c r="D36" i="9"/>
  <c r="D32" i="9"/>
  <c r="F36" i="9"/>
  <c r="E36" i="9"/>
  <c r="L32" i="9"/>
  <c r="F32" i="9"/>
  <c r="E32" i="9"/>
  <c r="G51" i="10"/>
  <c r="L51" i="10"/>
  <c r="F50" i="10"/>
  <c r="G50" i="10"/>
  <c r="L50" i="10"/>
  <c r="E50" i="10"/>
  <c r="E51" i="10"/>
  <c r="F51" i="10"/>
  <c r="L59" i="10" l="1"/>
  <c r="G59" i="10"/>
  <c r="F59" i="10"/>
  <c r="F44" i="9"/>
  <c r="D42" i="9"/>
  <c r="F42" i="9"/>
  <c r="E59" i="10"/>
  <c r="F55" i="9" l="1"/>
  <c r="E31" i="17"/>
  <c r="E51" i="17"/>
  <c r="E53" i="17" s="1"/>
  <c r="E44" i="9"/>
  <c r="E45" i="9" s="1"/>
  <c r="E42" i="10"/>
  <c r="F42" i="10"/>
  <c r="G42" i="10"/>
  <c r="L42" i="10"/>
  <c r="E30" i="10"/>
  <c r="E36" i="10" s="1"/>
  <c r="F30" i="10"/>
  <c r="F36" i="10" s="1"/>
  <c r="G30" i="10"/>
  <c r="G36" i="10" s="1"/>
  <c r="L36" i="10"/>
  <c r="E42" i="9"/>
  <c r="F53" i="9"/>
  <c r="L30" i="9"/>
  <c r="F30" i="9"/>
  <c r="E30" i="9"/>
  <c r="D30" i="9"/>
  <c r="F28" i="9"/>
  <c r="E28" i="9"/>
  <c r="D28" i="9"/>
  <c r="L24" i="9"/>
  <c r="L17" i="9"/>
  <c r="F17" i="9"/>
  <c r="E17" i="9"/>
  <c r="Q3" i="9"/>
  <c r="G57" i="9" l="1"/>
  <c r="L45" i="10"/>
  <c r="G45" i="10"/>
  <c r="E45" i="10"/>
  <c r="E47" i="10" s="1"/>
  <c r="F45" i="10"/>
  <c r="E55" i="9"/>
  <c r="E60" i="9" s="1"/>
  <c r="L60" i="10"/>
  <c r="L61" i="10"/>
  <c r="R3" i="9"/>
  <c r="Q2" i="10"/>
  <c r="E61" i="10"/>
  <c r="E60" i="10"/>
  <c r="F60" i="10"/>
  <c r="F61" i="10"/>
  <c r="G60" i="10"/>
  <c r="E39" i="9"/>
  <c r="F45" i="9"/>
  <c r="F39" i="9"/>
  <c r="E53" i="9"/>
  <c r="Q50" i="10" l="1"/>
  <c r="Q2" i="17"/>
  <c r="E5" i="17"/>
  <c r="E15" i="17" s="1"/>
  <c r="F57" i="9"/>
  <c r="F5" i="17"/>
  <c r="F60" i="9"/>
  <c r="S3" i="9"/>
  <c r="R2" i="10"/>
  <c r="F56" i="9"/>
  <c r="R50" i="10" l="1"/>
  <c r="R2" i="17"/>
  <c r="F15" i="17"/>
  <c r="F22" i="17" s="1"/>
  <c r="F44" i="17" s="1"/>
  <c r="F64" i="9"/>
  <c r="T3" i="9"/>
  <c r="S2" i="10"/>
  <c r="E22" i="17"/>
  <c r="E44" i="17" s="1"/>
  <c r="E56" i="9"/>
  <c r="G56" i="9"/>
  <c r="S50" i="10" l="1"/>
  <c r="S2" i="17"/>
  <c r="E64" i="9"/>
  <c r="U3" i="9"/>
  <c r="T2" i="10"/>
  <c r="T50" i="10" l="1"/>
  <c r="T2" i="17"/>
  <c r="F12" i="10"/>
  <c r="U2" i="10"/>
  <c r="G12" i="10"/>
  <c r="U50" i="10" l="1"/>
  <c r="U2" i="17"/>
  <c r="G19" i="10"/>
  <c r="G47" i="10" s="1"/>
  <c r="F19" i="10"/>
  <c r="F47" i="10" s="1"/>
  <c r="Q51" i="10"/>
  <c r="Q59" i="10" s="1"/>
  <c r="Q54" i="10" s="1"/>
  <c r="R51" i="10" l="1"/>
  <c r="R50" i="17"/>
  <c r="R51" i="17" s="1"/>
  <c r="R54" i="10" l="1"/>
  <c r="S51" i="10"/>
  <c r="S54" i="10" s="1"/>
  <c r="S50" i="17"/>
  <c r="S51" i="17" s="1"/>
  <c r="R25" i="17"/>
  <c r="R51" i="9" l="1"/>
  <c r="R41" i="9"/>
  <c r="R42" i="9" s="1"/>
  <c r="R31" i="17"/>
  <c r="T51" i="10"/>
  <c r="T54" i="10" s="1"/>
  <c r="T50" i="17"/>
  <c r="T51" i="17" s="1"/>
  <c r="S25" i="17"/>
  <c r="S16" i="17" l="1"/>
  <c r="R16" i="17"/>
  <c r="T16" i="17"/>
  <c r="R39" i="9"/>
  <c r="R52" i="9"/>
  <c r="S51" i="9"/>
  <c r="R44" i="9"/>
  <c r="R45" i="9" s="1"/>
  <c r="S41" i="9"/>
  <c r="S42" i="9" s="1"/>
  <c r="S31" i="17"/>
  <c r="T25" i="17"/>
  <c r="U51" i="10"/>
  <c r="U54" i="10" s="1"/>
  <c r="U50" i="17"/>
  <c r="U51" i="17" s="1"/>
  <c r="R68" i="9" l="1"/>
  <c r="U16" i="17"/>
  <c r="S52" i="9"/>
  <c r="S39" i="9"/>
  <c r="R55" i="9"/>
  <c r="T51" i="9"/>
  <c r="S44" i="9"/>
  <c r="S45" i="9" s="1"/>
  <c r="T41" i="9"/>
  <c r="T42" i="9" s="1"/>
  <c r="T31" i="17"/>
  <c r="U25" i="17"/>
  <c r="M7" i="24" l="1"/>
  <c r="S68" i="9"/>
  <c r="R5" i="17"/>
  <c r="R15" i="17" s="1"/>
  <c r="R56" i="9"/>
  <c r="T52" i="9"/>
  <c r="T39" i="9"/>
  <c r="R60" i="9"/>
  <c r="R67" i="9" s="1"/>
  <c r="R75" i="9" s="1"/>
  <c r="S55" i="9"/>
  <c r="U51" i="9"/>
  <c r="T44" i="9"/>
  <c r="U41" i="9"/>
  <c r="U42" i="9" s="1"/>
  <c r="U31" i="17"/>
  <c r="N7" i="24" l="1"/>
  <c r="F7" i="24" s="1"/>
  <c r="F20" i="24" s="1"/>
  <c r="N20" i="24" s="1"/>
  <c r="N25" i="24" s="1"/>
  <c r="N12" i="24"/>
  <c r="R76" i="9"/>
  <c r="M5" i="24"/>
  <c r="T68" i="9"/>
  <c r="S57" i="9"/>
  <c r="S5" i="17"/>
  <c r="S15" i="17" s="1"/>
  <c r="T55" i="9"/>
  <c r="S60" i="9"/>
  <c r="S67" i="9" s="1"/>
  <c r="S75" i="9" s="1"/>
  <c r="N5" i="24" s="1"/>
  <c r="R64" i="9"/>
  <c r="S56" i="9"/>
  <c r="T45" i="9"/>
  <c r="U52" i="9"/>
  <c r="U39" i="9"/>
  <c r="U44" i="9"/>
  <c r="O7" i="24" l="1"/>
  <c r="G7" i="24" s="1"/>
  <c r="G20" i="24" s="1"/>
  <c r="O20" i="24" s="1"/>
  <c r="O25" i="24" s="1"/>
  <c r="F5" i="24"/>
  <c r="F18" i="24" s="1"/>
  <c r="N18" i="24" s="1"/>
  <c r="N23" i="24" s="1"/>
  <c r="N10" i="24"/>
  <c r="S76" i="9"/>
  <c r="E5" i="24"/>
  <c r="E18" i="24" s="1"/>
  <c r="M18" i="24" s="1"/>
  <c r="M23" i="24" s="1"/>
  <c r="M10" i="24"/>
  <c r="U68" i="9"/>
  <c r="T5" i="17"/>
  <c r="T15" i="17" s="1"/>
  <c r="T57" i="9"/>
  <c r="T56" i="9"/>
  <c r="T60" i="9"/>
  <c r="S64" i="9"/>
  <c r="U55" i="9"/>
  <c r="U45" i="9"/>
  <c r="O12" i="24" l="1"/>
  <c r="P7" i="24"/>
  <c r="H7" i="24" s="1"/>
  <c r="H20" i="24" s="1"/>
  <c r="P20" i="24" s="1"/>
  <c r="P25" i="24" s="1"/>
  <c r="P12" i="24"/>
  <c r="T64" i="9"/>
  <c r="T67" i="9"/>
  <c r="T75" i="9" s="1"/>
  <c r="O5" i="24" s="1"/>
  <c r="U57" i="9"/>
  <c r="U5" i="17"/>
  <c r="U15" i="17" s="1"/>
  <c r="U60" i="9"/>
  <c r="U67" i="9" s="1"/>
  <c r="U75" i="9" s="1"/>
  <c r="P5" i="24" s="1"/>
  <c r="U56" i="9"/>
  <c r="L28" i="9"/>
  <c r="L51" i="9"/>
  <c r="H5" i="24" l="1"/>
  <c r="H18" i="24" s="1"/>
  <c r="P18" i="24" s="1"/>
  <c r="P23" i="24" s="1"/>
  <c r="P10" i="24"/>
  <c r="G5" i="24"/>
  <c r="G18" i="24" s="1"/>
  <c r="O18" i="24" s="1"/>
  <c r="O23" i="24" s="1"/>
  <c r="O10" i="24"/>
  <c r="U76" i="9"/>
  <c r="T76" i="9"/>
  <c r="U64" i="9"/>
  <c r="L55" i="9"/>
  <c r="L57" i="9" s="1"/>
  <c r="L44" i="9"/>
  <c r="L53" i="9"/>
  <c r="L39" i="9"/>
  <c r="L45" i="9" l="1"/>
  <c r="L5" i="17" l="1"/>
  <c r="L60" i="9"/>
  <c r="L67" i="9" s="1"/>
  <c r="L56" i="9"/>
  <c r="L15" i="17" l="1"/>
  <c r="L22" i="17" s="1"/>
  <c r="K60" i="9"/>
  <c r="K67" i="9" s="1"/>
  <c r="K75" i="9" s="1"/>
  <c r="K76" i="9" l="1"/>
  <c r="L75" i="9"/>
  <c r="L76" i="9" s="1"/>
  <c r="L44" i="17"/>
  <c r="K64" i="9"/>
  <c r="L64" i="9" s="1"/>
  <c r="L12" i="10"/>
  <c r="L19" i="10" l="1"/>
  <c r="L47" i="10" s="1"/>
  <c r="C10" i="11" l="1"/>
  <c r="Q24" i="9" l="1"/>
  <c r="Q60" i="10" l="1"/>
  <c r="Q55" i="10" s="1"/>
  <c r="Q41" i="9"/>
  <c r="Q61" i="10" l="1"/>
  <c r="Q57" i="10" s="1"/>
  <c r="Q30" i="10"/>
  <c r="Q36" i="10" s="1"/>
  <c r="R57" i="10" l="1"/>
  <c r="R55" i="10"/>
  <c r="S57" i="10"/>
  <c r="S55" i="10"/>
  <c r="S19" i="17" l="1"/>
  <c r="R19" i="17"/>
  <c r="U55" i="10"/>
  <c r="T55" i="10"/>
  <c r="U57" i="10"/>
  <c r="T57" i="10"/>
  <c r="Q42" i="9"/>
  <c r="T19" i="17" l="1"/>
  <c r="U19" i="17"/>
  <c r="S17" i="17"/>
  <c r="S22" i="17" s="1"/>
  <c r="S44" i="17" s="1"/>
  <c r="R17" i="17"/>
  <c r="T17" i="17"/>
  <c r="R22" i="17" l="1"/>
  <c r="R44" i="17" s="1"/>
  <c r="U17" i="17"/>
  <c r="T22" i="17"/>
  <c r="T44" i="17" s="1"/>
  <c r="U22" i="17" l="1"/>
  <c r="U44" i="17" s="1"/>
  <c r="D24" i="9" l="1"/>
  <c r="D44" i="9" l="1"/>
  <c r="D45" i="9" s="1"/>
  <c r="D39" i="9"/>
  <c r="D51" i="9"/>
  <c r="D53" i="9" l="1"/>
  <c r="D55" i="9"/>
  <c r="E57" i="9" l="1"/>
  <c r="D5" i="17"/>
  <c r="D15" i="17" s="1"/>
  <c r="D22" i="17" s="1"/>
  <c r="D44" i="17" s="1"/>
  <c r="E45" i="17" s="1"/>
  <c r="F45" i="17" s="1"/>
  <c r="F46" i="17" s="1"/>
  <c r="G45" i="17" s="1"/>
  <c r="G46" i="17" s="1"/>
  <c r="L45" i="17" s="1"/>
  <c r="M45" i="17" s="1"/>
  <c r="D57" i="9"/>
  <c r="D60" i="9"/>
  <c r="D56" i="9"/>
  <c r="M46" i="17" l="1"/>
  <c r="N45" i="17" s="1"/>
  <c r="N46" i="17" s="1"/>
  <c r="Q45" i="17"/>
  <c r="D64" i="9"/>
  <c r="Q38" i="9" l="1"/>
  <c r="L6" i="24" s="1"/>
  <c r="Q44" i="9" l="1"/>
  <c r="Q39" i="9"/>
  <c r="Q51" i="9"/>
  <c r="Q52" i="9" l="1"/>
  <c r="Q68" i="9"/>
  <c r="Q45" i="9"/>
  <c r="O17" i="17"/>
  <c r="O19" i="17"/>
  <c r="Q53" i="9" l="1"/>
  <c r="O41" i="10"/>
  <c r="Q55" i="9"/>
  <c r="O22" i="17"/>
  <c r="O44" i="17" s="1"/>
  <c r="Q17" i="17"/>
  <c r="Q19" i="17"/>
  <c r="Q56" i="9" l="1"/>
  <c r="L7" i="24"/>
  <c r="Q67" i="9"/>
  <c r="Q60" i="9"/>
  <c r="Q64" i="9"/>
  <c r="R57" i="9"/>
  <c r="Q57" i="9"/>
  <c r="Q5" i="17"/>
  <c r="O42" i="10"/>
  <c r="O45" i="10" s="1"/>
  <c r="P41" i="10"/>
  <c r="P42" i="10" s="1"/>
  <c r="Q15" i="17"/>
  <c r="Q22" i="17" l="1"/>
  <c r="Q44" i="17" s="1"/>
  <c r="P45" i="10"/>
  <c r="Q41" i="10"/>
  <c r="R41" i="10" s="1"/>
  <c r="R42" i="10" l="1"/>
  <c r="R45" i="10" s="1"/>
  <c r="S41" i="10"/>
  <c r="Q46" i="17"/>
  <c r="R45" i="17" s="1"/>
  <c r="R46" i="17" s="1"/>
  <c r="Q76" i="9"/>
  <c r="L5" i="24"/>
  <c r="O45" i="17"/>
  <c r="O46" i="17" s="1"/>
  <c r="O6" i="10" s="1"/>
  <c r="O12" i="10" s="1"/>
  <c r="O19" i="10" s="1"/>
  <c r="Q42" i="10"/>
  <c r="Q45" i="10" s="1"/>
  <c r="S42" i="10" l="1"/>
  <c r="S45" i="10" s="1"/>
  <c r="T41" i="10"/>
  <c r="R6" i="10"/>
  <c r="R12" i="10" s="1"/>
  <c r="R19" i="10" s="1"/>
  <c r="R47" i="10" s="1"/>
  <c r="S45" i="17"/>
  <c r="S46" i="17" s="1"/>
  <c r="S6" i="10" s="1"/>
  <c r="S12" i="10" s="1"/>
  <c r="S19" i="10" s="1"/>
  <c r="D5" i="24"/>
  <c r="D18" i="24" s="1"/>
  <c r="L18" i="24" s="1"/>
  <c r="L23" i="24" s="1"/>
  <c r="L10" i="24"/>
  <c r="O47" i="10"/>
  <c r="P45" i="17"/>
  <c r="P46" i="17" s="1"/>
  <c r="P6" i="10" s="1"/>
  <c r="P12" i="10" s="1"/>
  <c r="P19" i="10" s="1"/>
  <c r="T42" i="10" l="1"/>
  <c r="T45" i="10" s="1"/>
  <c r="U41" i="10"/>
  <c r="U42" i="10" s="1"/>
  <c r="U45" i="10" s="1"/>
  <c r="T45" i="17"/>
  <c r="T46" i="17" s="1"/>
  <c r="T6" i="10" s="1"/>
  <c r="T12" i="10" s="1"/>
  <c r="T19" i="10" s="1"/>
  <c r="Q6" i="10"/>
  <c r="Q12" i="10" s="1"/>
  <c r="Q19" i="10" s="1"/>
  <c r="Q47" i="10" s="1"/>
  <c r="P47" i="10"/>
  <c r="S47" i="10"/>
  <c r="U45" i="17" l="1"/>
  <c r="U46" i="17" s="1"/>
  <c r="U6" i="10" s="1"/>
  <c r="U12" i="10" s="1"/>
  <c r="U19" i="10" s="1"/>
  <c r="U47" i="10" s="1"/>
  <c r="T47" i="10"/>
  <c r="D6" i="24"/>
  <c r="D19" i="24" s="1"/>
  <c r="L19" i="24" s="1"/>
  <c r="L24" i="24" s="1"/>
  <c r="L11" i="24"/>
  <c r="E6" i="24"/>
  <c r="E19" i="24" s="1"/>
  <c r="M19" i="24" s="1"/>
  <c r="M24" i="24" s="1"/>
  <c r="M11" i="24"/>
  <c r="D7" i="24"/>
  <c r="D20" i="24" s="1"/>
  <c r="L20" i="24" s="1"/>
  <c r="L25" i="24" s="1"/>
  <c r="L12" i="24"/>
  <c r="E7" i="24"/>
  <c r="E20" i="24" s="1"/>
  <c r="M20" i="24" s="1"/>
  <c r="M25" i="24" s="1"/>
  <c r="M12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8CB298CD-EB96-465A-8872-D67ABA42CA6C}">
      <text>
        <r>
          <rPr>
            <b/>
            <sz val="9"/>
            <color indexed="81"/>
            <rFont val="Tahoma"/>
            <family val="2"/>
          </rPr>
          <t>&lt;?xml version="1.0" encoding="utf-8"?&gt;&lt;Schema xmlns:xsd="http://www.w3.org/2001/XMLSchema" xmlns:xsi="http://www.w3.org/2001/XMLSchema-instance" Version="2" Timestamp="1693577980"&gt;&lt;FQL&gt;&lt;Q&gt;PNG-CA^FF_DEBT(QTR_R,0)&lt;/Q&gt;&lt;R&gt;1&lt;/R&gt;&lt;C&gt;1&lt;/C&gt;&lt;D xsi:type="xsd:double"&gt;14.161&lt;/D&gt;&lt;/FQL&gt;&lt;FQL&gt;&lt;Q&gt;PNG-CA^FF_CASH_ST(QTR_R,0)&lt;/Q&gt;&lt;R&gt;1&lt;/R&gt;&lt;C&gt;1&lt;/C&gt;&lt;D xsi:type="xsd:double"&gt;6.716&lt;/D&gt;&lt;/FQL&gt;&lt;FQL&gt;&lt;Q&gt;PNG-CA^FF_COM_SHS_OUT_EPS_DIL(ANN_R,0)&lt;/Q&gt;&lt;R&gt;1&lt;/R&gt;&lt;C&gt;1&lt;/C&gt;&lt;D xsi:type="xsd:double"&gt;201.214585&lt;/D&gt;&lt;/FQL&gt;&lt;FQL&gt;&lt;Q&gt;PNG-CA^FG_PRICE(NOW)&lt;/Q&gt;&lt;R&gt;1&lt;/R&gt;&lt;C&gt;1&lt;/C&gt;&lt;D xsi:type="xsd:double"&gt;0.445&lt;/D&gt;&lt;/FQL&gt;&lt;/Schema&gt;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16" authorId="0" shapeId="0" xr:uid="{110A39D9-9918-4272-8ADF-1F0920D21FC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g= 66-78m</t>
        </r>
      </text>
    </comment>
    <comment ref="Q75" authorId="0" shapeId="0" xr:uid="{18C6F084-6435-42A8-8A3D-CD2086C7CD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 = $12 -17m</t>
        </r>
      </text>
    </comment>
  </commentList>
</comments>
</file>

<file path=xl/sharedStrings.xml><?xml version="1.0" encoding="utf-8"?>
<sst xmlns="http://schemas.openxmlformats.org/spreadsheetml/2006/main" count="245" uniqueCount="182">
  <si>
    <t>Revenue</t>
  </si>
  <si>
    <t>COGS</t>
  </si>
  <si>
    <t>Gross Profit</t>
  </si>
  <si>
    <t xml:space="preserve">   yoy growth</t>
  </si>
  <si>
    <t xml:space="preserve">   gross margin</t>
  </si>
  <si>
    <t>EBIT</t>
  </si>
  <si>
    <t xml:space="preserve">   EBIT margin</t>
  </si>
  <si>
    <t>EBT</t>
  </si>
  <si>
    <t>Income taxes</t>
  </si>
  <si>
    <t xml:space="preserve">   Tax rate</t>
  </si>
  <si>
    <t>Net Income</t>
  </si>
  <si>
    <t xml:space="preserve">   as a % of revenue</t>
  </si>
  <si>
    <t>EV/EBITDA</t>
  </si>
  <si>
    <t>P/E</t>
  </si>
  <si>
    <t>YE Dec 31</t>
  </si>
  <si>
    <t>Operating expenses</t>
  </si>
  <si>
    <t>Interest expense</t>
  </si>
  <si>
    <t>Other income (expense)</t>
  </si>
  <si>
    <t>S/O (basic)</t>
  </si>
  <si>
    <t>EPS (basic)</t>
  </si>
  <si>
    <t xml:space="preserve">  net margin</t>
  </si>
  <si>
    <t>EV/EBIT</t>
  </si>
  <si>
    <t>D&amp;A</t>
  </si>
  <si>
    <t>EBITDA</t>
  </si>
  <si>
    <t>EV</t>
  </si>
  <si>
    <t>Market Cap</t>
  </si>
  <si>
    <t>Balance Sheet</t>
  </si>
  <si>
    <t>Assets</t>
  </si>
  <si>
    <t>Current Assets</t>
  </si>
  <si>
    <t>Cash</t>
  </si>
  <si>
    <t>AR</t>
  </si>
  <si>
    <t>Inventory</t>
  </si>
  <si>
    <t>Prepaid and other</t>
  </si>
  <si>
    <t>Total Current Assets</t>
  </si>
  <si>
    <t>Total assets</t>
  </si>
  <si>
    <t>Liabilities &amp; Shareholders Equity</t>
  </si>
  <si>
    <t>Current Liabilities</t>
  </si>
  <si>
    <t>Total current liabilities</t>
  </si>
  <si>
    <t>Total Liabilities</t>
  </si>
  <si>
    <t>Total shareholder equity</t>
  </si>
  <si>
    <t>Total liabilities &amp; shareholder equity</t>
  </si>
  <si>
    <t>Check</t>
  </si>
  <si>
    <t>BS Assumptions</t>
  </si>
  <si>
    <t>DSO</t>
  </si>
  <si>
    <t>DIO</t>
  </si>
  <si>
    <t>DPO</t>
  </si>
  <si>
    <t>AP &amp; accrued liabilities</t>
  </si>
  <si>
    <t>Share capital</t>
  </si>
  <si>
    <t>CFO</t>
  </si>
  <si>
    <t>Symbol</t>
  </si>
  <si>
    <t>Closing price ($)</t>
  </si>
  <si>
    <t>52-week range ($)</t>
  </si>
  <si>
    <t>Avg 3-month daily vol</t>
  </si>
  <si>
    <t>Shares O/S (mm)</t>
  </si>
  <si>
    <t>Market cap ($m FD)</t>
  </si>
  <si>
    <t>Net debt ($m)</t>
  </si>
  <si>
    <t>EV ($m)</t>
  </si>
  <si>
    <t>Dividend Yield</t>
  </si>
  <si>
    <t>Year-end</t>
  </si>
  <si>
    <t>Debt</t>
  </si>
  <si>
    <t>Cash Flow Statements</t>
  </si>
  <si>
    <t>Operating activities</t>
  </si>
  <si>
    <t>Net income for the year</t>
  </si>
  <si>
    <t>Depreciation &amp; amortization</t>
  </si>
  <si>
    <t>Changes non cash working capital</t>
  </si>
  <si>
    <t>Accounts receivable</t>
  </si>
  <si>
    <t>Inventories</t>
  </si>
  <si>
    <t>Prepaid expenditures</t>
  </si>
  <si>
    <t>Investing activities</t>
  </si>
  <si>
    <t>Acquisitions</t>
  </si>
  <si>
    <t>Financing activities</t>
  </si>
  <si>
    <t>Repayment LT debt</t>
  </si>
  <si>
    <t>Proceeds LT debt</t>
  </si>
  <si>
    <t>CFF</t>
  </si>
  <si>
    <t>CFI</t>
  </si>
  <si>
    <t>Increase in cash</t>
  </si>
  <si>
    <t>Cash beginning of year</t>
  </si>
  <si>
    <t>Cash end of year</t>
  </si>
  <si>
    <t>AP</t>
  </si>
  <si>
    <t>Capital Intensity</t>
  </si>
  <si>
    <t xml:space="preserve">   capital intensity as % of revenue</t>
  </si>
  <si>
    <t>1Q23</t>
  </si>
  <si>
    <t>3Q23e</t>
  </si>
  <si>
    <t>4Q23e</t>
  </si>
  <si>
    <t>2Q22</t>
  </si>
  <si>
    <t>1Q22</t>
  </si>
  <si>
    <t>3Q22</t>
  </si>
  <si>
    <t>4Q22</t>
  </si>
  <si>
    <t>Industry</t>
  </si>
  <si>
    <t>Other</t>
  </si>
  <si>
    <t>Comprehensive loss for the year</t>
  </si>
  <si>
    <t>Property &amp; Equipment</t>
  </si>
  <si>
    <t>Lease liability</t>
  </si>
  <si>
    <t>Purchase of PPE</t>
  </si>
  <si>
    <t>SBC</t>
  </si>
  <si>
    <t>LT Debt</t>
  </si>
  <si>
    <t>Deferred income tax</t>
  </si>
  <si>
    <t>R&amp;D</t>
  </si>
  <si>
    <t>FX</t>
  </si>
  <si>
    <t>Income taxes recoverable</t>
  </si>
  <si>
    <t>Non-controlling interest</t>
  </si>
  <si>
    <t>Payments dividends</t>
  </si>
  <si>
    <t>Repurchased and cancellation of shares NCIB</t>
  </si>
  <si>
    <t>Repayment lease liability</t>
  </si>
  <si>
    <t>Income taxes payable</t>
  </si>
  <si>
    <t>0.19m</t>
  </si>
  <si>
    <t xml:space="preserve">Income Statement </t>
  </si>
  <si>
    <t>Contract asset</t>
  </si>
  <si>
    <t xml:space="preserve">Intangible </t>
  </si>
  <si>
    <t>Goodwill</t>
  </si>
  <si>
    <t>Deferred taxes</t>
  </si>
  <si>
    <t>Prepayments</t>
  </si>
  <si>
    <t>Contract liabilities</t>
  </si>
  <si>
    <t>Current portion LT debt</t>
  </si>
  <si>
    <t>Current portion lease liabilities</t>
  </si>
  <si>
    <t>Current portion contingent consideration</t>
  </si>
  <si>
    <t>Contingent consideration</t>
  </si>
  <si>
    <t>Contributed surplus</t>
  </si>
  <si>
    <t>Accumulated other comp loss</t>
  </si>
  <si>
    <t>Retained earnings (deficit)</t>
  </si>
  <si>
    <t>Bank indebtness</t>
  </si>
  <si>
    <t>Products sales - trasnferred point in time</t>
  </si>
  <si>
    <t>Product sales - transferred over time</t>
  </si>
  <si>
    <t>Service revenue - transferred over time</t>
  </si>
  <si>
    <t>Admin expenses</t>
  </si>
  <si>
    <t>Investment tax credits recoverable</t>
  </si>
  <si>
    <t>Loss disposal PPE</t>
  </si>
  <si>
    <t>Interest on lease liability</t>
  </si>
  <si>
    <t>Interest LT obligations</t>
  </si>
  <si>
    <t>Accretion expense</t>
  </si>
  <si>
    <t>FV adjustment contiegent consideration</t>
  </si>
  <si>
    <t>Income tax recovery</t>
  </si>
  <si>
    <t>Increase in intangibles</t>
  </si>
  <si>
    <t>Descrease restricted cash</t>
  </si>
  <si>
    <t>Proceeds disposal P&amp;E</t>
  </si>
  <si>
    <t>Proceeds common shares</t>
  </si>
  <si>
    <t>Bank indebtness, net</t>
  </si>
  <si>
    <t>Contract assets</t>
  </si>
  <si>
    <t>Gain sale investment/subsidiary</t>
  </si>
  <si>
    <t xml:space="preserve">   mix</t>
  </si>
  <si>
    <t>Assumptions</t>
  </si>
  <si>
    <t>BULL Scenario</t>
  </si>
  <si>
    <t>Dec'23e</t>
  </si>
  <si>
    <t>Dec'24e</t>
  </si>
  <si>
    <t>Dec '22A</t>
  </si>
  <si>
    <t>Cap Table</t>
  </si>
  <si>
    <t>Growth</t>
  </si>
  <si>
    <t>Sales</t>
  </si>
  <si>
    <t>Share Price</t>
  </si>
  <si>
    <t>Shares outstanding</t>
  </si>
  <si>
    <t>EV/Sales</t>
  </si>
  <si>
    <t>BEAR Scenario</t>
  </si>
  <si>
    <t>Adjusted EBITDA reconciliation</t>
  </si>
  <si>
    <t>Net loss</t>
  </si>
  <si>
    <t>income tax</t>
  </si>
  <si>
    <t>financing costs</t>
  </si>
  <si>
    <t>FX (loss) gain</t>
  </si>
  <si>
    <t>Restructuring and acqu. Cost</t>
  </si>
  <si>
    <t>Adjusted EBITDA</t>
  </si>
  <si>
    <t xml:space="preserve">   Adjusted EBITDA margin</t>
  </si>
  <si>
    <t xml:space="preserve">Loss impairment assets </t>
  </si>
  <si>
    <t xml:space="preserve"> = 2022-2027 CAGR</t>
  </si>
  <si>
    <t>2Q23</t>
  </si>
  <si>
    <t>This sheet contains FactSet XML data for use with this workbook's =FDS codes.  Modifying the worksheet's contents may damage the workbook's =FDS functionality.</t>
  </si>
  <si>
    <t>Dec'25e</t>
  </si>
  <si>
    <t>1H23</t>
  </si>
  <si>
    <t>Adj. EBITDA</t>
  </si>
  <si>
    <t>2H23</t>
  </si>
  <si>
    <t>Guidance</t>
  </si>
  <si>
    <t>Low</t>
  </si>
  <si>
    <t>High</t>
  </si>
  <si>
    <t>Mid-point</t>
  </si>
  <si>
    <t>(In $000s)</t>
  </si>
  <si>
    <t>Dec'26e</t>
  </si>
  <si>
    <t>Dec'27e</t>
  </si>
  <si>
    <t>EBITDA Margin</t>
  </si>
  <si>
    <t>EBIT Margin</t>
  </si>
  <si>
    <t>Net Margin</t>
  </si>
  <si>
    <t>$0.35-$0.67</t>
  </si>
  <si>
    <t>TSXV: PNG</t>
  </si>
  <si>
    <t>Defense, Nautrical Systems &amp; Instruments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</si>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</sst>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x"/>
    <numFmt numFmtId="165" formatCode="&quot;$&quot;#,##0.00"/>
    <numFmt numFmtId="166" formatCode="0.0%"/>
    <numFmt numFmtId="167" formatCode="#,##0.0_);\(#,##0.0\)"/>
    <numFmt numFmtId="168" formatCode="0&quot;e&quot;"/>
    <numFmt numFmtId="169" formatCode="0.0"/>
    <numFmt numFmtId="170" formatCode="#,##0.0"/>
    <numFmt numFmtId="171" formatCode="&quot;$&quot;#,##0.0"/>
    <numFmt numFmtId="172" formatCode="_(* #,##0.0_);_(* \(#,##0.0\);_(* &quot;-&quot;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_);_(@_)"/>
    <numFmt numFmtId="176" formatCode="_(* #,##0.0000_);_(* \(#,##0.0000\);_(* &quot;-&quot;_);_(@_)"/>
    <numFmt numFmtId="177" formatCode="_(* #,##0.000_);_(* \(#,##0.000\);_(* &quot;-&quot;??_);_(@_)"/>
    <numFmt numFmtId="178" formatCode="_(* #,##0.0000_);_(* \(#,##0.0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8000"/>
      <name val="Calibri"/>
      <family val="2"/>
    </font>
    <font>
      <sz val="11"/>
      <name val="Calibri"/>
      <family val="2"/>
    </font>
    <font>
      <sz val="11"/>
      <color rgb="FF008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00FF"/>
      <name val="Calibri"/>
      <family val="2"/>
    </font>
    <font>
      <i/>
      <sz val="11"/>
      <name val="Calibri"/>
      <family val="2"/>
      <scheme val="minor"/>
    </font>
    <font>
      <sz val="11"/>
      <color rgb="FFFF00FF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FFF4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166" fontId="5" fillId="0" borderId="0" xfId="2" applyNumberFormat="1" applyFont="1"/>
    <xf numFmtId="0" fontId="3" fillId="0" borderId="0" xfId="0" applyFont="1"/>
    <xf numFmtId="0" fontId="5" fillId="0" borderId="0" xfId="0" quotePrefix="1" applyFont="1"/>
    <xf numFmtId="0" fontId="0" fillId="0" borderId="0" xfId="0" applyAlignment="1">
      <alignment horizontal="center"/>
    </xf>
    <xf numFmtId="37" fontId="0" fillId="0" borderId="0" xfId="0" applyNumberFormat="1"/>
    <xf numFmtId="37" fontId="3" fillId="0" borderId="0" xfId="0" applyNumberFormat="1" applyFont="1"/>
    <xf numFmtId="0" fontId="6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0" fillId="0" borderId="0" xfId="0" applyFont="1"/>
    <xf numFmtId="0" fontId="0" fillId="0" borderId="3" xfId="0" applyBorder="1"/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168" fontId="2" fillId="3" borderId="0" xfId="0" applyNumberFormat="1" applyFont="1" applyFill="1" applyAlignment="1">
      <alignment horizontal="center"/>
    </xf>
    <xf numFmtId="169" fontId="0" fillId="0" borderId="0" xfId="0" applyNumberFormat="1"/>
    <xf numFmtId="0" fontId="7" fillId="0" borderId="0" xfId="0" applyFont="1"/>
    <xf numFmtId="170" fontId="11" fillId="0" borderId="0" xfId="0" applyNumberFormat="1" applyFont="1"/>
    <xf numFmtId="170" fontId="0" fillId="0" borderId="0" xfId="0" applyNumberFormat="1"/>
    <xf numFmtId="37" fontId="3" fillId="0" borderId="7" xfId="0" applyNumberFormat="1" applyFont="1" applyBorder="1"/>
    <xf numFmtId="0" fontId="3" fillId="0" borderId="0" xfId="0" applyFont="1" applyAlignment="1">
      <alignment horizontal="left"/>
    </xf>
    <xf numFmtId="0" fontId="3" fillId="6" borderId="2" xfId="0" applyFont="1" applyFill="1" applyBorder="1"/>
    <xf numFmtId="0" fontId="3" fillId="0" borderId="2" xfId="0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71" fontId="3" fillId="0" borderId="2" xfId="0" applyNumberFormat="1" applyFont="1" applyBorder="1" applyAlignment="1">
      <alignment horizontal="right"/>
    </xf>
    <xf numFmtId="10" fontId="3" fillId="0" borderId="2" xfId="2" applyNumberFormat="1" applyFont="1" applyBorder="1" applyAlignment="1">
      <alignment horizontal="right"/>
    </xf>
    <xf numFmtId="16" fontId="3" fillId="0" borderId="2" xfId="0" applyNumberFormat="1" applyFont="1" applyBorder="1" applyAlignment="1">
      <alignment horizontal="right"/>
    </xf>
    <xf numFmtId="165" fontId="0" fillId="0" borderId="0" xfId="0" applyNumberFormat="1"/>
    <xf numFmtId="0" fontId="3" fillId="0" borderId="0" xfId="0" applyFont="1" applyAlignment="1">
      <alignment horizontal="right"/>
    </xf>
    <xf numFmtId="173" fontId="0" fillId="0" borderId="0" xfId="0" applyNumberForma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1" fontId="14" fillId="0" borderId="0" xfId="3" applyNumberFormat="1" applyFont="1" applyFill="1" applyBorder="1" applyAlignment="1">
      <alignment horizontal="center"/>
    </xf>
    <xf numFmtId="172" fontId="14" fillId="0" borderId="0" xfId="3" applyNumberFormat="1" applyFont="1" applyFill="1" applyBorder="1" applyAlignment="1">
      <alignment horizontal="center"/>
    </xf>
    <xf numFmtId="172" fontId="0" fillId="0" borderId="0" xfId="0" applyNumberFormat="1"/>
    <xf numFmtId="172" fontId="12" fillId="0" borderId="0" xfId="0" applyNumberFormat="1" applyFont="1" applyAlignment="1">
      <alignment horizontal="center"/>
    </xf>
    <xf numFmtId="0" fontId="0" fillId="8" borderId="0" xfId="0" applyFill="1"/>
    <xf numFmtId="173" fontId="3" fillId="0" borderId="0" xfId="0" applyNumberFormat="1" applyFont="1"/>
    <xf numFmtId="166" fontId="8" fillId="7" borderId="0" xfId="2" applyNumberFormat="1" applyFont="1" applyFill="1"/>
    <xf numFmtId="0" fontId="0" fillId="0" borderId="7" xfId="0" applyBorder="1"/>
    <xf numFmtId="0" fontId="0" fillId="0" borderId="5" xfId="0" applyBorder="1"/>
    <xf numFmtId="0" fontId="2" fillId="2" borderId="0" xfId="0" applyFont="1" applyFill="1" applyAlignment="1">
      <alignment horizontal="center"/>
    </xf>
    <xf numFmtId="166" fontId="5" fillId="0" borderId="11" xfId="2" applyNumberFormat="1" applyFont="1" applyBorder="1"/>
    <xf numFmtId="0" fontId="0" fillId="0" borderId="11" xfId="0" applyBorder="1"/>
    <xf numFmtId="37" fontId="0" fillId="0" borderId="11" xfId="0" applyNumberFormat="1" applyBorder="1"/>
    <xf numFmtId="166" fontId="5" fillId="0" borderId="11" xfId="2" applyNumberFormat="1" applyFont="1" applyFill="1" applyBorder="1"/>
    <xf numFmtId="37" fontId="12" fillId="0" borderId="11" xfId="0" applyNumberFormat="1" applyFont="1" applyBorder="1"/>
    <xf numFmtId="166" fontId="19" fillId="0" borderId="11" xfId="2" applyNumberFormat="1" applyFont="1" applyBorder="1" applyAlignment="1">
      <alignment horizontal="right"/>
    </xf>
    <xf numFmtId="37" fontId="9" fillId="0" borderId="11" xfId="0" applyNumberFormat="1" applyFont="1" applyBorder="1"/>
    <xf numFmtId="8" fontId="3" fillId="0" borderId="11" xfId="0" applyNumberFormat="1" applyFont="1" applyBorder="1"/>
    <xf numFmtId="166" fontId="8" fillId="4" borderId="11" xfId="2" applyNumberFormat="1" applyFont="1" applyFill="1" applyBorder="1"/>
    <xf numFmtId="167" fontId="0" fillId="0" borderId="11" xfId="0" applyNumberFormat="1" applyBorder="1"/>
    <xf numFmtId="166" fontId="8" fillId="0" borderId="11" xfId="2" applyNumberFormat="1" applyFont="1" applyFill="1" applyBorder="1"/>
    <xf numFmtId="37" fontId="3" fillId="0" borderId="11" xfId="0" applyNumberFormat="1" applyFont="1" applyBorder="1"/>
    <xf numFmtId="37" fontId="0" fillId="0" borderId="4" xfId="0" applyNumberFormat="1" applyBorder="1"/>
    <xf numFmtId="166" fontId="5" fillId="0" borderId="4" xfId="2" applyNumberFormat="1" applyFont="1" applyBorder="1"/>
    <xf numFmtId="166" fontId="5" fillId="0" borderId="0" xfId="2" applyNumberFormat="1" applyFont="1" applyBorder="1"/>
    <xf numFmtId="37" fontId="12" fillId="0" borderId="4" xfId="0" applyNumberFormat="1" applyFont="1" applyBorder="1"/>
    <xf numFmtId="8" fontId="3" fillId="0" borderId="4" xfId="0" applyNumberFormat="1" applyFont="1" applyBorder="1"/>
    <xf numFmtId="166" fontId="19" fillId="0" borderId="4" xfId="2" applyNumberFormat="1" applyFont="1" applyBorder="1" applyAlignment="1">
      <alignment horizontal="right"/>
    </xf>
    <xf numFmtId="166" fontId="19" fillId="0" borderId="0" xfId="2" applyNumberFormat="1" applyFont="1" applyBorder="1" applyAlignment="1">
      <alignment horizontal="right"/>
    </xf>
    <xf numFmtId="0" fontId="0" fillId="0" borderId="10" xfId="0" applyBorder="1"/>
    <xf numFmtId="170" fontId="7" fillId="0" borderId="11" xfId="0" applyNumberFormat="1" applyFont="1" applyBorder="1"/>
    <xf numFmtId="166" fontId="5" fillId="0" borderId="0" xfId="2" applyNumberFormat="1" applyFont="1" applyFill="1" applyBorder="1"/>
    <xf numFmtId="166" fontId="8" fillId="4" borderId="0" xfId="2" applyNumberFormat="1" applyFont="1" applyFill="1" applyBorder="1"/>
    <xf numFmtId="41" fontId="14" fillId="0" borderId="7" xfId="3" applyNumberFormat="1" applyFont="1" applyFill="1" applyBorder="1" applyAlignment="1">
      <alignment horizontal="center"/>
    </xf>
    <xf numFmtId="41" fontId="14" fillId="0" borderId="11" xfId="3" applyNumberFormat="1" applyFont="1" applyFill="1" applyBorder="1" applyAlignment="1">
      <alignment horizontal="center"/>
    </xf>
    <xf numFmtId="0" fontId="0" fillId="8" borderId="7" xfId="0" applyFill="1" applyBorder="1"/>
    <xf numFmtId="0" fontId="0" fillId="8" borderId="11" xfId="0" applyFill="1" applyBorder="1"/>
    <xf numFmtId="0" fontId="0" fillId="8" borderId="4" xfId="0" applyFill="1" applyBorder="1"/>
    <xf numFmtId="166" fontId="8" fillId="7" borderId="11" xfId="2" applyNumberFormat="1" applyFont="1" applyFill="1" applyBorder="1"/>
    <xf numFmtId="0" fontId="2" fillId="2" borderId="0" xfId="0" applyFont="1" applyFill="1" applyAlignment="1">
      <alignment horizontal="right"/>
    </xf>
    <xf numFmtId="0" fontId="7" fillId="0" borderId="7" xfId="0" applyFont="1" applyBorder="1"/>
    <xf numFmtId="0" fontId="2" fillId="2" borderId="7" xfId="0" applyFont="1" applyFill="1" applyBorder="1"/>
    <xf numFmtId="170" fontId="0" fillId="0" borderId="7" xfId="0" applyNumberFormat="1" applyBorder="1"/>
    <xf numFmtId="0" fontId="7" fillId="0" borderId="11" xfId="0" applyFont="1" applyBorder="1"/>
    <xf numFmtId="0" fontId="2" fillId="2" borderId="11" xfId="0" applyFont="1" applyFill="1" applyBorder="1"/>
    <xf numFmtId="170" fontId="0" fillId="0" borderId="11" xfId="0" applyNumberFormat="1" applyBorder="1"/>
    <xf numFmtId="37" fontId="3" fillId="0" borderId="4" xfId="0" applyNumberFormat="1" applyFont="1" applyBorder="1"/>
    <xf numFmtId="168" fontId="2" fillId="3" borderId="11" xfId="0" applyNumberFormat="1" applyFont="1" applyFill="1" applyBorder="1" applyAlignment="1">
      <alignment horizontal="right"/>
    </xf>
    <xf numFmtId="170" fontId="7" fillId="0" borderId="4" xfId="0" applyNumberFormat="1" applyFont="1" applyBorder="1"/>
    <xf numFmtId="170" fontId="7" fillId="0" borderId="7" xfId="0" applyNumberFormat="1" applyFont="1" applyBorder="1"/>
    <xf numFmtId="170" fontId="0" fillId="0" borderId="4" xfId="0" applyNumberFormat="1" applyBorder="1"/>
    <xf numFmtId="168" fontId="2" fillId="3" borderId="4" xfId="0" applyNumberFormat="1" applyFont="1" applyFill="1" applyBorder="1" applyAlignment="1">
      <alignment horizontal="right"/>
    </xf>
    <xf numFmtId="168" fontId="2" fillId="3" borderId="7" xfId="0" applyNumberFormat="1" applyFont="1" applyFill="1" applyBorder="1" applyAlignment="1">
      <alignment horizontal="right"/>
    </xf>
    <xf numFmtId="170" fontId="7" fillId="4" borderId="4" xfId="0" applyNumberFormat="1" applyFont="1" applyFill="1" applyBorder="1"/>
    <xf numFmtId="170" fontId="7" fillId="4" borderId="0" xfId="0" applyNumberFormat="1" applyFont="1" applyFill="1"/>
    <xf numFmtId="0" fontId="2" fillId="3" borderId="0" xfId="0" applyFont="1" applyFill="1" applyAlignment="1">
      <alignment horizontal="right"/>
    </xf>
    <xf numFmtId="41" fontId="14" fillId="0" borderId="4" xfId="3" applyNumberFormat="1" applyFont="1" applyFill="1" applyBorder="1" applyAlignment="1">
      <alignment horizontal="center"/>
    </xf>
    <xf numFmtId="0" fontId="0" fillId="0" borderId="6" xfId="0" applyBorder="1"/>
    <xf numFmtId="37" fontId="16" fillId="0" borderId="11" xfId="0" applyNumberFormat="1" applyFont="1" applyBorder="1"/>
    <xf numFmtId="37" fontId="16" fillId="0" borderId="11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37" fontId="3" fillId="5" borderId="11" xfId="0" applyNumberFormat="1" applyFont="1" applyFill="1" applyBorder="1"/>
    <xf numFmtId="37" fontId="11" fillId="5" borderId="11" xfId="0" applyNumberFormat="1" applyFont="1" applyFill="1" applyBorder="1"/>
    <xf numFmtId="37" fontId="13" fillId="0" borderId="11" xfId="0" applyNumberFormat="1" applyFont="1" applyBorder="1"/>
    <xf numFmtId="41" fontId="16" fillId="0" borderId="11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41" fontId="0" fillId="0" borderId="11" xfId="0" applyNumberFormat="1" applyBorder="1"/>
    <xf numFmtId="41" fontId="0" fillId="0" borderId="4" xfId="0" applyNumberFormat="1" applyBorder="1"/>
    <xf numFmtId="41" fontId="0" fillId="0" borderId="0" xfId="0" applyNumberFormat="1"/>
    <xf numFmtId="41" fontId="0" fillId="0" borderId="7" xfId="0" applyNumberFormat="1" applyBorder="1"/>
    <xf numFmtId="41" fontId="3" fillId="0" borderId="11" xfId="0" applyNumberFormat="1" applyFont="1" applyBorder="1"/>
    <xf numFmtId="41" fontId="3" fillId="0" borderId="4" xfId="0" applyNumberFormat="1" applyFont="1" applyBorder="1"/>
    <xf numFmtId="41" fontId="3" fillId="0" borderId="0" xfId="0" applyNumberFormat="1" applyFont="1"/>
    <xf numFmtId="41" fontId="3" fillId="0" borderId="7" xfId="0" applyNumberFormat="1" applyFont="1" applyBorder="1"/>
    <xf numFmtId="41" fontId="15" fillId="0" borderId="11" xfId="3" applyNumberFormat="1" applyFont="1" applyFill="1" applyBorder="1" applyAlignment="1">
      <alignment horizontal="center"/>
    </xf>
    <xf numFmtId="41" fontId="15" fillId="0" borderId="4" xfId="3" applyNumberFormat="1" applyFont="1" applyFill="1" applyBorder="1" applyAlignment="1">
      <alignment horizontal="center"/>
    </xf>
    <xf numFmtId="41" fontId="15" fillId="0" borderId="0" xfId="3" applyNumberFormat="1" applyFont="1" applyFill="1" applyBorder="1" applyAlignment="1">
      <alignment horizontal="center"/>
    </xf>
    <xf numFmtId="41" fontId="15" fillId="0" borderId="7" xfId="3" applyNumberFormat="1" applyFont="1" applyFill="1" applyBorder="1" applyAlignment="1">
      <alignment horizontal="center"/>
    </xf>
    <xf numFmtId="174" fontId="3" fillId="0" borderId="11" xfId="0" applyNumberFormat="1" applyFont="1" applyBorder="1"/>
    <xf numFmtId="174" fontId="3" fillId="0" borderId="4" xfId="0" applyNumberFormat="1" applyFont="1" applyBorder="1"/>
    <xf numFmtId="174" fontId="3" fillId="0" borderId="0" xfId="0" applyNumberFormat="1" applyFont="1"/>
    <xf numFmtId="174" fontId="0" fillId="0" borderId="11" xfId="0" applyNumberFormat="1" applyBorder="1"/>
    <xf numFmtId="174" fontId="0" fillId="0" borderId="4" xfId="0" applyNumberFormat="1" applyBorder="1"/>
    <xf numFmtId="174" fontId="0" fillId="0" borderId="0" xfId="0" applyNumberFormat="1"/>
    <xf numFmtId="174" fontId="16" fillId="0" borderId="11" xfId="0" applyNumberFormat="1" applyFont="1" applyBorder="1"/>
    <xf numFmtId="41" fontId="16" fillId="0" borderId="7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center"/>
    </xf>
    <xf numFmtId="1" fontId="0" fillId="0" borderId="0" xfId="0" applyNumberFormat="1"/>
    <xf numFmtId="41" fontId="16" fillId="0" borderId="4" xfId="0" applyNumberFormat="1" applyFont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6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center"/>
    </xf>
    <xf numFmtId="170" fontId="7" fillId="0" borderId="0" xfId="0" applyNumberFormat="1" applyFont="1"/>
    <xf numFmtId="37" fontId="16" fillId="0" borderId="4" xfId="0" applyNumberFormat="1" applyFont="1" applyBorder="1" applyAlignment="1">
      <alignment horizontal="right"/>
    </xf>
    <xf numFmtId="37" fontId="11" fillId="5" borderId="4" xfId="0" applyNumberFormat="1" applyFont="1" applyFill="1" applyBorder="1"/>
    <xf numFmtId="37" fontId="3" fillId="0" borderId="4" xfId="0" applyNumberFormat="1" applyFont="1" applyBorder="1" applyAlignment="1">
      <alignment horizontal="right"/>
    </xf>
    <xf numFmtId="41" fontId="20" fillId="0" borderId="11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11" xfId="0" applyNumberFormat="1" applyFont="1" applyBorder="1" applyAlignment="1">
      <alignment horizontal="center"/>
    </xf>
    <xf numFmtId="37" fontId="3" fillId="5" borderId="4" xfId="0" applyNumberFormat="1" applyFont="1" applyFill="1" applyBorder="1"/>
    <xf numFmtId="37" fontId="0" fillId="0" borderId="11" xfId="0" applyNumberFormat="1" applyBorder="1" applyAlignment="1">
      <alignment horizontal="right"/>
    </xf>
    <xf numFmtId="41" fontId="11" fillId="0" borderId="0" xfId="0" applyNumberFormat="1" applyFont="1"/>
    <xf numFmtId="41" fontId="7" fillId="0" borderId="0" xfId="0" applyNumberFormat="1" applyFont="1"/>
    <xf numFmtId="41" fontId="18" fillId="7" borderId="0" xfId="3" applyNumberFormat="1" applyFont="1" applyFill="1" applyBorder="1" applyAlignment="1">
      <alignment horizontal="center"/>
    </xf>
    <xf numFmtId="41" fontId="18" fillId="7" borderId="11" xfId="3" applyNumberFormat="1" applyFont="1" applyFill="1" applyBorder="1" applyAlignment="1">
      <alignment horizontal="center"/>
    </xf>
    <xf numFmtId="170" fontId="7" fillId="4" borderId="11" xfId="0" applyNumberFormat="1" applyFont="1" applyFill="1" applyBorder="1"/>
    <xf numFmtId="41" fontId="11" fillId="0" borderId="11" xfId="0" applyNumberFormat="1" applyFont="1" applyBorder="1"/>
    <xf numFmtId="41" fontId="7" fillId="0" borderId="11" xfId="0" applyNumberFormat="1" applyFont="1" applyBorder="1"/>
    <xf numFmtId="41" fontId="16" fillId="0" borderId="11" xfId="0" applyNumberFormat="1" applyFont="1" applyBorder="1" applyAlignment="1">
      <alignment horizontal="centerContinuous"/>
    </xf>
    <xf numFmtId="41" fontId="16" fillId="0" borderId="4" xfId="0" applyNumberFormat="1" applyFont="1" applyBorder="1" applyAlignment="1">
      <alignment horizontal="centerContinuous"/>
    </xf>
    <xf numFmtId="41" fontId="16" fillId="0" borderId="0" xfId="0" applyNumberFormat="1" applyFont="1" applyAlignment="1">
      <alignment horizontal="centerContinuous"/>
    </xf>
    <xf numFmtId="41" fontId="16" fillId="0" borderId="7" xfId="0" applyNumberFormat="1" applyFont="1" applyBorder="1" applyAlignment="1">
      <alignment horizontal="centerContinuous"/>
    </xf>
    <xf numFmtId="37" fontId="0" fillId="0" borderId="7" xfId="0" applyNumberFormat="1" applyBorder="1"/>
    <xf numFmtId="166" fontId="19" fillId="0" borderId="4" xfId="2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37" fontId="17" fillId="0" borderId="11" xfId="0" applyNumberFormat="1" applyFont="1" applyBorder="1"/>
    <xf numFmtId="41" fontId="12" fillId="0" borderId="0" xfId="0" applyNumberFormat="1" applyFont="1"/>
    <xf numFmtId="41" fontId="12" fillId="0" borderId="7" xfId="0" applyNumberFormat="1" applyFont="1" applyBorder="1"/>
    <xf numFmtId="37" fontId="17" fillId="0" borderId="4" xfId="0" applyNumberFormat="1" applyFont="1" applyBorder="1"/>
    <xf numFmtId="0" fontId="2" fillId="0" borderId="4" xfId="0" applyFont="1" applyBorder="1" applyAlignment="1">
      <alignment horizontal="center"/>
    </xf>
    <xf numFmtId="37" fontId="16" fillId="0" borderId="4" xfId="0" applyNumberFormat="1" applyFont="1" applyBorder="1"/>
    <xf numFmtId="9" fontId="0" fillId="0" borderId="0" xfId="2" applyFont="1"/>
    <xf numFmtId="15" fontId="4" fillId="2" borderId="0" xfId="0" applyNumberFormat="1" applyFont="1" applyFill="1"/>
    <xf numFmtId="15" fontId="4" fillId="3" borderId="0" xfId="0" applyNumberFormat="1" applyFont="1" applyFill="1"/>
    <xf numFmtId="175" fontId="11" fillId="0" borderId="11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7" fontId="3" fillId="0" borderId="11" xfId="0" applyNumberFormat="1" applyFont="1" applyBorder="1"/>
    <xf numFmtId="177" fontId="0" fillId="0" borderId="11" xfId="0" applyNumberFormat="1" applyBorder="1"/>
    <xf numFmtId="177" fontId="14" fillId="0" borderId="11" xfId="3" applyNumberFormat="1" applyFont="1" applyFill="1" applyBorder="1" applyAlignment="1">
      <alignment horizontal="center"/>
    </xf>
    <xf numFmtId="37" fontId="11" fillId="0" borderId="11" xfId="0" applyNumberFormat="1" applyFont="1" applyBorder="1" applyAlignment="1">
      <alignment horizontal="right"/>
    </xf>
    <xf numFmtId="37" fontId="1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6" fontId="5" fillId="0" borderId="7" xfId="2" applyNumberFormat="1" applyFont="1" applyBorder="1"/>
    <xf numFmtId="37" fontId="11" fillId="0" borderId="11" xfId="0" applyNumberFormat="1" applyFont="1" applyBorder="1"/>
    <xf numFmtId="175" fontId="11" fillId="0" borderId="0" xfId="0" applyNumberFormat="1" applyFont="1" applyAlignment="1">
      <alignment horizontal="center"/>
    </xf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0" fillId="9" borderId="1" xfId="0" applyFill="1" applyBorder="1"/>
    <xf numFmtId="166" fontId="8" fillId="0" borderId="0" xfId="2" applyNumberFormat="1" applyFont="1"/>
    <xf numFmtId="44" fontId="7" fillId="0" borderId="0" xfId="1" applyFont="1"/>
    <xf numFmtId="44" fontId="3" fillId="0" borderId="3" xfId="0" applyNumberFormat="1" applyFont="1" applyBorder="1"/>
    <xf numFmtId="44" fontId="0" fillId="0" borderId="0" xfId="0" applyNumberFormat="1"/>
    <xf numFmtId="164" fontId="3" fillId="0" borderId="0" xfId="0" applyNumberFormat="1" applyFont="1"/>
    <xf numFmtId="0" fontId="3" fillId="7" borderId="1" xfId="0" applyFont="1" applyFill="1" applyBorder="1" applyAlignment="1">
      <alignment horizontal="right"/>
    </xf>
    <xf numFmtId="0" fontId="3" fillId="7" borderId="1" xfId="0" applyFont="1" applyFill="1" applyBorder="1"/>
    <xf numFmtId="0" fontId="0" fillId="7" borderId="1" xfId="0" applyFill="1" applyBorder="1"/>
    <xf numFmtId="0" fontId="0" fillId="10" borderId="0" xfId="0" applyFill="1"/>
    <xf numFmtId="8" fontId="3" fillId="10" borderId="11" xfId="0" applyNumberFormat="1" applyFont="1" applyFill="1" applyBorder="1"/>
    <xf numFmtId="8" fontId="3" fillId="10" borderId="4" xfId="0" applyNumberFormat="1" applyFont="1" applyFill="1" applyBorder="1"/>
    <xf numFmtId="166" fontId="24" fillId="10" borderId="4" xfId="2" applyNumberFormat="1" applyFont="1" applyFill="1" applyBorder="1"/>
    <xf numFmtId="166" fontId="24" fillId="10" borderId="0" xfId="2" applyNumberFormat="1" applyFont="1" applyFill="1" applyBorder="1"/>
    <xf numFmtId="166" fontId="24" fillId="10" borderId="11" xfId="2" applyNumberFormat="1" applyFont="1" applyFill="1" applyBorder="1"/>
    <xf numFmtId="37" fontId="12" fillId="10" borderId="11" xfId="0" applyNumberFormat="1" applyFont="1" applyFill="1" applyBorder="1" applyAlignment="1">
      <alignment horizontal="right"/>
    </xf>
    <xf numFmtId="37" fontId="16" fillId="10" borderId="11" xfId="0" applyNumberFormat="1" applyFont="1" applyFill="1" applyBorder="1" applyAlignment="1">
      <alignment horizontal="right"/>
    </xf>
    <xf numFmtId="37" fontId="11" fillId="10" borderId="11" xfId="0" applyNumberFormat="1" applyFont="1" applyFill="1" applyBorder="1" applyAlignment="1">
      <alignment horizontal="right"/>
    </xf>
    <xf numFmtId="41" fontId="16" fillId="10" borderId="11" xfId="0" applyNumberFormat="1" applyFont="1" applyFill="1" applyBorder="1" applyAlignment="1">
      <alignment horizontal="center"/>
    </xf>
    <xf numFmtId="0" fontId="25" fillId="0" borderId="0" xfId="0" quotePrefix="1" applyFont="1"/>
    <xf numFmtId="166" fontId="11" fillId="0" borderId="0" xfId="2" applyNumberFormat="1" applyFont="1" applyFill="1" applyBorder="1" applyAlignment="1">
      <alignment horizontal="center"/>
    </xf>
    <xf numFmtId="166" fontId="19" fillId="0" borderId="0" xfId="2" applyNumberFormat="1" applyFont="1"/>
    <xf numFmtId="166" fontId="19" fillId="0" borderId="0" xfId="2" applyNumberFormat="1" applyFont="1" applyFill="1" applyBorder="1" applyAlignment="1">
      <alignment horizontal="right"/>
    </xf>
    <xf numFmtId="41" fontId="12" fillId="10" borderId="11" xfId="0" applyNumberFormat="1" applyFont="1" applyFill="1" applyBorder="1" applyAlignment="1">
      <alignment horizontal="center"/>
    </xf>
    <xf numFmtId="0" fontId="3" fillId="0" borderId="4" xfId="0" applyFont="1" applyBorder="1"/>
    <xf numFmtId="37" fontId="17" fillId="0" borderId="11" xfId="0" applyNumberFormat="1" applyFont="1" applyBorder="1" applyAlignment="1">
      <alignment horizontal="right"/>
    </xf>
    <xf numFmtId="174" fontId="14" fillId="0" borderId="11" xfId="3" applyNumberFormat="1" applyFont="1" applyFill="1" applyBorder="1" applyAlignment="1">
      <alignment horizontal="center"/>
    </xf>
    <xf numFmtId="174" fontId="14" fillId="0" borderId="4" xfId="3" applyNumberFormat="1" applyFont="1" applyFill="1" applyBorder="1" applyAlignment="1">
      <alignment horizontal="center"/>
    </xf>
    <xf numFmtId="174" fontId="14" fillId="0" borderId="0" xfId="3" applyNumberFormat="1" applyFont="1" applyFill="1" applyBorder="1" applyAlignment="1">
      <alignment horizontal="center"/>
    </xf>
    <xf numFmtId="174" fontId="14" fillId="0" borderId="7" xfId="3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7" fontId="0" fillId="0" borderId="1" xfId="0" applyNumberFormat="1" applyBorder="1"/>
    <xf numFmtId="37" fontId="0" fillId="0" borderId="9" xfId="0" applyNumberFormat="1" applyBorder="1"/>
    <xf numFmtId="37" fontId="3" fillId="11" borderId="0" xfId="0" applyNumberFormat="1" applyFont="1" applyFill="1"/>
    <xf numFmtId="37" fontId="3" fillId="7" borderId="0" xfId="0" applyNumberFormat="1" applyFont="1" applyFill="1"/>
    <xf numFmtId="0" fontId="3" fillId="0" borderId="8" xfId="0" applyFont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5" xfId="0" applyFont="1" applyBorder="1" applyAlignment="1">
      <alignment horizontal="left"/>
    </xf>
    <xf numFmtId="37" fontId="3" fillId="0" borderId="1" xfId="0" applyNumberFormat="1" applyFont="1" applyBorder="1"/>
    <xf numFmtId="0" fontId="2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2" borderId="5" xfId="0" applyFont="1" applyFill="1" applyBorder="1"/>
    <xf numFmtId="15" fontId="4" fillId="2" borderId="3" xfId="0" applyNumberFormat="1" applyFont="1" applyFill="1" applyBorder="1"/>
    <xf numFmtId="15" fontId="4" fillId="3" borderId="3" xfId="0" applyNumberFormat="1" applyFont="1" applyFill="1" applyBorder="1"/>
    <xf numFmtId="15" fontId="4" fillId="3" borderId="6" xfId="0" applyNumberFormat="1" applyFont="1" applyFill="1" applyBorder="1"/>
    <xf numFmtId="0" fontId="2" fillId="2" borderId="8" xfId="0" applyFont="1" applyFill="1" applyBorder="1" applyAlignment="1">
      <alignment horizontal="left"/>
    </xf>
    <xf numFmtId="168" fontId="2" fillId="3" borderId="1" xfId="0" applyNumberFormat="1" applyFont="1" applyFill="1" applyBorder="1" applyAlignment="1">
      <alignment horizontal="center"/>
    </xf>
    <xf numFmtId="168" fontId="2" fillId="3" borderId="9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1" fillId="0" borderId="4" xfId="0" applyFont="1" applyBorder="1" applyAlignment="1">
      <alignment horizontal="left"/>
    </xf>
    <xf numFmtId="37" fontId="17" fillId="0" borderId="0" xfId="0" applyNumberFormat="1" applyFont="1"/>
    <xf numFmtId="37" fontId="11" fillId="0" borderId="0" xfId="0" applyNumberFormat="1" applyFont="1"/>
    <xf numFmtId="0" fontId="19" fillId="0" borderId="4" xfId="0" quotePrefix="1" applyFont="1" applyBorder="1" applyAlignment="1">
      <alignment horizontal="left"/>
    </xf>
    <xf numFmtId="0" fontId="3" fillId="5" borderId="4" xfId="0" applyFont="1" applyFill="1" applyBorder="1"/>
    <xf numFmtId="37" fontId="11" fillId="5" borderId="0" xfId="0" applyNumberFormat="1" applyFont="1" applyFill="1"/>
    <xf numFmtId="0" fontId="5" fillId="0" borderId="4" xfId="0" quotePrefix="1" applyFont="1" applyBorder="1"/>
    <xf numFmtId="0" fontId="10" fillId="0" borderId="4" xfId="0" applyFont="1" applyBorder="1"/>
    <xf numFmtId="37" fontId="16" fillId="0" borderId="0" xfId="0" applyNumberFormat="1" applyFont="1"/>
    <xf numFmtId="37" fontId="12" fillId="0" borderId="0" xfId="0" applyNumberFormat="1" applyFont="1" applyAlignment="1">
      <alignment horizontal="right"/>
    </xf>
    <xf numFmtId="37" fontId="12" fillId="0" borderId="0" xfId="0" applyNumberFormat="1" applyFont="1"/>
    <xf numFmtId="37" fontId="16" fillId="0" borderId="0" xfId="0" applyNumberFormat="1" applyFont="1" applyAlignment="1">
      <alignment horizontal="right"/>
    </xf>
    <xf numFmtId="41" fontId="20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5" borderId="0" xfId="0" applyNumberFormat="1" applyFont="1" applyFill="1"/>
    <xf numFmtId="37" fontId="17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9" fillId="0" borderId="0" xfId="0" applyNumberFormat="1" applyFont="1"/>
    <xf numFmtId="8" fontId="3" fillId="0" borderId="0" xfId="0" applyNumberFormat="1" applyFont="1"/>
    <xf numFmtId="0" fontId="10" fillId="10" borderId="4" xfId="0" applyFont="1" applyFill="1" applyBorder="1"/>
    <xf numFmtId="8" fontId="3" fillId="10" borderId="0" xfId="0" applyNumberFormat="1" applyFont="1" applyFill="1"/>
    <xf numFmtId="0" fontId="3" fillId="10" borderId="4" xfId="0" applyFont="1" applyFill="1" applyBorder="1"/>
    <xf numFmtId="37" fontId="12" fillId="10" borderId="0" xfId="0" applyNumberFormat="1" applyFont="1" applyFill="1" applyAlignment="1">
      <alignment horizontal="right"/>
    </xf>
    <xf numFmtId="41" fontId="12" fillId="10" borderId="0" xfId="0" applyNumberFormat="1" applyFont="1" applyFill="1" applyAlignment="1">
      <alignment horizontal="center"/>
    </xf>
    <xf numFmtId="0" fontId="0" fillId="10" borderId="4" xfId="0" applyFill="1" applyBorder="1"/>
    <xf numFmtId="41" fontId="16" fillId="10" borderId="0" xfId="0" applyNumberFormat="1" applyFont="1" applyFill="1" applyAlignment="1">
      <alignment horizontal="center"/>
    </xf>
    <xf numFmtId="37" fontId="16" fillId="10" borderId="0" xfId="0" applyNumberFormat="1" applyFont="1" applyFill="1" applyAlignment="1">
      <alignment horizontal="right"/>
    </xf>
    <xf numFmtId="37" fontId="11" fillId="10" borderId="0" xfId="0" applyNumberFormat="1" applyFont="1" applyFill="1" applyAlignment="1">
      <alignment horizontal="right"/>
    </xf>
    <xf numFmtId="0" fontId="5" fillId="10" borderId="4" xfId="0" quotePrefix="1" applyFont="1" applyFill="1" applyBorder="1"/>
    <xf numFmtId="0" fontId="3" fillId="10" borderId="8" xfId="0" applyFont="1" applyFill="1" applyBorder="1"/>
    <xf numFmtId="8" fontId="3" fillId="10" borderId="12" xfId="0" applyNumberFormat="1" applyFont="1" applyFill="1" applyBorder="1"/>
    <xf numFmtId="8" fontId="3" fillId="10" borderId="8" xfId="0" applyNumberFormat="1" applyFont="1" applyFill="1" applyBorder="1"/>
    <xf numFmtId="8" fontId="3" fillId="10" borderId="1" xfId="0" applyNumberFormat="1" applyFont="1" applyFill="1" applyBorder="1"/>
    <xf numFmtId="177" fontId="3" fillId="0" borderId="4" xfId="0" applyNumberFormat="1" applyFont="1" applyBorder="1"/>
    <xf numFmtId="177" fontId="3" fillId="0" borderId="0" xfId="0" applyNumberFormat="1" applyFont="1"/>
    <xf numFmtId="177" fontId="3" fillId="0" borderId="7" xfId="0" applyNumberFormat="1" applyFont="1" applyBorder="1"/>
    <xf numFmtId="177" fontId="0" fillId="0" borderId="4" xfId="0" applyNumberFormat="1" applyBorder="1"/>
    <xf numFmtId="177" fontId="0" fillId="0" borderId="0" xfId="0" applyNumberFormat="1"/>
    <xf numFmtId="177" fontId="0" fillId="0" borderId="7" xfId="0" applyNumberFormat="1" applyBorder="1"/>
    <xf numFmtId="175" fontId="3" fillId="0" borderId="11" xfId="0" applyNumberFormat="1" applyFont="1" applyBorder="1"/>
    <xf numFmtId="175" fontId="14" fillId="0" borderId="11" xfId="3" applyNumberFormat="1" applyFont="1" applyFill="1" applyBorder="1" applyAlignment="1">
      <alignment horizontal="center"/>
    </xf>
    <xf numFmtId="175" fontId="11" fillId="0" borderId="7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178" fontId="7" fillId="0" borderId="11" xfId="0" applyNumberFormat="1" applyFont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FFF4"/>
      <color rgb="FF0000FF"/>
      <color rgb="FF008000"/>
      <color rgb="FFFF00FF"/>
      <color rgb="FFFF66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322294</xdr:colOff>
      <xdr:row>1</xdr:row>
      <xdr:rowOff>123825</xdr:rowOff>
    </xdr:from>
    <xdr:to>
      <xdr:col>11</xdr:col>
      <xdr:colOff>352425</xdr:colOff>
      <xdr:row>11</xdr:row>
      <xdr:rowOff>40337</xdr:rowOff>
    </xdr:to>
    <xdr:pic>
      <xdr:nvPicPr>
        <xdr:cNvPr id="2" name="Picture 1" descr="Members | OTCNS">
          <a:extLst>
            <a:ext uri="{FF2B5EF4-FFF2-40B4-BE49-F238E27FC236}">
              <a16:creationId xmlns:a16="http://schemas.microsoft.com/office/drawing/2014/main" id="{F7A5AB6C-98F5-A290-7F60-6F26AE68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3344" y="314325"/>
          <a:ext cx="4906931" cy="1821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hil%20Cvercko\Sync\Paul%20+%20Mike%20+%20Brad%20+%20Phil\3.%20Stocks\4.%20Small-cap\3.%20Industrial%20&amp;%20Diversified\Kraken%20Robotics%20(PNG)\KRAKEN%20Model%202Q23.xlsx" TargetMode="External"/><Relationship Id="rId1" Type="http://schemas.openxmlformats.org/officeDocument/2006/relationships/externalLinkPath" Target="KRAKEN%20Model%202Q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_FDSCACHE__"/>
      <sheetName val="Table"/>
      <sheetName val="Contact"/>
      <sheetName val="Valuation"/>
      <sheetName val="DCF"/>
      <sheetName val="IS"/>
      <sheetName val="Simple"/>
      <sheetName val="BS"/>
      <sheetName val="CF"/>
      <sheetName val="IRR"/>
      <sheetName val="LBO"/>
    </sheetNames>
    <sheetDataSet>
      <sheetData sheetId="0"/>
      <sheetData sheetId="1"/>
      <sheetData sheetId="2"/>
      <sheetData sheetId="3">
        <row r="8">
          <cell r="M8">
            <v>10.56</v>
          </cell>
        </row>
      </sheetData>
      <sheetData sheetId="4"/>
      <sheetData sheetId="5">
        <row r="2">
          <cell r="N2">
            <v>45107</v>
          </cell>
        </row>
        <row r="16">
          <cell r="N16">
            <v>13655</v>
          </cell>
        </row>
        <row r="20">
          <cell r="N20">
            <v>-5911</v>
          </cell>
        </row>
        <row r="31">
          <cell r="N31">
            <v>-1232</v>
          </cell>
        </row>
        <row r="33">
          <cell r="N33">
            <v>-98</v>
          </cell>
        </row>
        <row r="55">
          <cell r="N55">
            <v>1997</v>
          </cell>
        </row>
      </sheetData>
      <sheetData sheetId="6"/>
      <sheetData sheetId="7">
        <row r="1">
          <cell r="N1">
            <v>45107</v>
          </cell>
        </row>
        <row r="2">
          <cell r="N2" t="str">
            <v>2Q23</v>
          </cell>
        </row>
      </sheetData>
      <sheetData sheetId="8">
        <row r="25">
          <cell r="C25">
            <v>-1069.8679999999999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8815-5A62-4FC8-9C25-ECF2FB9F6FAC}">
  <dimension ref="A1:B1"/>
  <sheetViews>
    <sheetView workbookViewId="0"/>
  </sheetViews>
  <sheetFormatPr defaultRowHeight="15" x14ac:dyDescent="0.25"/>
  <sheetData>
    <row r="1" spans="1:2" x14ac:dyDescent="0.25">
      <c r="B1" t="s">
        <v>163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E83C-C279-4591-B7C6-7EE88584AE92}">
  <dimension ref="B2:C12"/>
  <sheetViews>
    <sheetView showGridLines="0" tabSelected="1" workbookViewId="0">
      <selection activeCell="F21" sqref="F21"/>
    </sheetView>
  </sheetViews>
  <sheetFormatPr defaultRowHeight="15" x14ac:dyDescent="0.25"/>
  <cols>
    <col min="1" max="1" width="7.28515625" customWidth="1"/>
    <col min="2" max="2" width="22.5703125" customWidth="1"/>
    <col min="3" max="3" width="39" customWidth="1"/>
  </cols>
  <sheetData>
    <row r="2" spans="2:3" x14ac:dyDescent="0.25">
      <c r="B2" s="24" t="s">
        <v>49</v>
      </c>
      <c r="C2" s="25" t="s">
        <v>179</v>
      </c>
    </row>
    <row r="3" spans="2:3" x14ac:dyDescent="0.25">
      <c r="B3" s="24" t="s">
        <v>88</v>
      </c>
      <c r="C3" s="25" t="s">
        <v>180</v>
      </c>
    </row>
    <row r="4" spans="2:3" x14ac:dyDescent="0.25">
      <c r="B4" s="24" t="s">
        <v>50</v>
      </c>
      <c r="C4" s="26">
        <v>0.5</v>
      </c>
    </row>
    <row r="5" spans="2:3" x14ac:dyDescent="0.25">
      <c r="B5" s="24" t="s">
        <v>51</v>
      </c>
      <c r="C5" s="25" t="s">
        <v>178</v>
      </c>
    </row>
    <row r="6" spans="2:3" x14ac:dyDescent="0.25">
      <c r="B6" s="24" t="s">
        <v>52</v>
      </c>
      <c r="C6" s="25" t="s">
        <v>105</v>
      </c>
    </row>
    <row r="7" spans="2:3" x14ac:dyDescent="0.25">
      <c r="B7" s="24" t="s">
        <v>53</v>
      </c>
      <c r="C7" s="27">
        <f>Valuation!S5</f>
        <v>207.38</v>
      </c>
    </row>
    <row r="8" spans="2:3" x14ac:dyDescent="0.25">
      <c r="B8" s="24" t="s">
        <v>54</v>
      </c>
      <c r="C8" s="28">
        <f>C4*C7</f>
        <v>103.69</v>
      </c>
    </row>
    <row r="9" spans="2:3" x14ac:dyDescent="0.25">
      <c r="B9" s="24" t="s">
        <v>55</v>
      </c>
      <c r="C9" s="28">
        <f>Valuation!S7+Valuation!S8</f>
        <v>3.8440000000000003</v>
      </c>
    </row>
    <row r="10" spans="2:3" x14ac:dyDescent="0.25">
      <c r="B10" s="24" t="s">
        <v>56</v>
      </c>
      <c r="C10" s="28">
        <f>SUM(C8:C9)</f>
        <v>107.53399999999999</v>
      </c>
    </row>
    <row r="11" spans="2:3" x14ac:dyDescent="0.25">
      <c r="B11" s="24" t="s">
        <v>57</v>
      </c>
      <c r="C11" s="29" t="s">
        <v>181</v>
      </c>
    </row>
    <row r="12" spans="2:3" x14ac:dyDescent="0.25">
      <c r="B12" s="24" t="s">
        <v>58</v>
      </c>
      <c r="C12" s="30">
        <v>45291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7E9BC-0108-4244-BBC8-A36DA7A3E722}">
  <dimension ref="B2:S25"/>
  <sheetViews>
    <sheetView showGridLines="0" workbookViewId="0"/>
  </sheetViews>
  <sheetFormatPr defaultRowHeight="15" x14ac:dyDescent="0.25"/>
  <cols>
    <col min="1" max="1" width="4.28515625" customWidth="1"/>
    <col min="3" max="3" width="14.85546875" customWidth="1"/>
    <col min="9" max="9" width="5" customWidth="1"/>
    <col min="10" max="10" width="10.7109375" customWidth="1"/>
    <col min="11" max="16" width="9.5703125" customWidth="1"/>
    <col min="17" max="17" width="5" customWidth="1"/>
    <col min="18" max="18" width="18.85546875" customWidth="1"/>
    <col min="19" max="19" width="11.5703125" customWidth="1"/>
  </cols>
  <sheetData>
    <row r="2" spans="2:19" x14ac:dyDescent="0.25">
      <c r="C2" s="11" t="s">
        <v>140</v>
      </c>
      <c r="D2" s="11"/>
      <c r="J2" s="11" t="s">
        <v>141</v>
      </c>
    </row>
    <row r="3" spans="2:19" x14ac:dyDescent="0.25">
      <c r="C3" s="171"/>
      <c r="D3" s="171" t="s">
        <v>142</v>
      </c>
      <c r="E3" s="171" t="s">
        <v>143</v>
      </c>
      <c r="F3" s="171" t="str">
        <f>N3</f>
        <v>Dec'25e</v>
      </c>
      <c r="G3" s="171" t="str">
        <f t="shared" ref="G3:H3" si="0">O3</f>
        <v>Dec'26e</v>
      </c>
      <c r="H3" s="171" t="str">
        <f t="shared" si="0"/>
        <v>Dec'27e</v>
      </c>
      <c r="J3" s="171"/>
      <c r="K3" s="171" t="s">
        <v>144</v>
      </c>
      <c r="L3" s="171" t="s">
        <v>142</v>
      </c>
      <c r="M3" s="171" t="s">
        <v>143</v>
      </c>
      <c r="N3" s="171" t="s">
        <v>164</v>
      </c>
      <c r="O3" s="171" t="s">
        <v>173</v>
      </c>
      <c r="P3" s="171" t="s">
        <v>174</v>
      </c>
      <c r="R3" s="172" t="s">
        <v>145</v>
      </c>
      <c r="S3" s="173"/>
    </row>
    <row r="4" spans="2:19" x14ac:dyDescent="0.25">
      <c r="C4" s="2" t="s">
        <v>146</v>
      </c>
      <c r="D4" s="194">
        <f>L4/K4-1</f>
        <v>0.75892001564486145</v>
      </c>
      <c r="E4" s="194">
        <f>M4/L4-1</f>
        <v>0.38917009362939337</v>
      </c>
      <c r="F4" s="194">
        <f>N4/M4-1</f>
        <v>0.34459156743104091</v>
      </c>
      <c r="G4" s="194">
        <f t="shared" ref="G4:H4" si="1">O4/N4-1</f>
        <v>0.29726524805083376</v>
      </c>
      <c r="H4" s="194">
        <f t="shared" si="1"/>
        <v>0.26000000000000023</v>
      </c>
      <c r="J4" s="2" t="s">
        <v>147</v>
      </c>
      <c r="K4" s="18">
        <f>IS!L16/1000</f>
        <v>40.908000000000001</v>
      </c>
      <c r="L4" s="18">
        <f>IS!Q16/1000</f>
        <v>71.95389999999999</v>
      </c>
      <c r="M4" s="18">
        <f>IS!R16/1000</f>
        <v>99.956205999999995</v>
      </c>
      <c r="N4" s="18">
        <f>IS!S16/1000</f>
        <v>134.40027170000002</v>
      </c>
      <c r="O4" s="18">
        <f>IS!T16/1000</f>
        <v>174.35280180499998</v>
      </c>
      <c r="P4" s="18">
        <f>IS!U16/1000</f>
        <v>219.68453027430002</v>
      </c>
      <c r="R4" t="s">
        <v>148</v>
      </c>
      <c r="S4" s="175">
        <v>0.5</v>
      </c>
    </row>
    <row r="5" spans="2:19" x14ac:dyDescent="0.25">
      <c r="B5" s="32"/>
      <c r="C5" s="2" t="s">
        <v>175</v>
      </c>
      <c r="D5" s="194">
        <f t="shared" ref="D5:F7" si="2">L5/L$4</f>
        <v>0.18105855276781391</v>
      </c>
      <c r="E5" s="194">
        <f t="shared" si="2"/>
        <v>0.19999999999999998</v>
      </c>
      <c r="F5" s="194">
        <f t="shared" si="2"/>
        <v>0.22600000000000003</v>
      </c>
      <c r="G5" s="194">
        <f t="shared" ref="G5:G7" si="3">O5/O$4</f>
        <v>0.24300000000000008</v>
      </c>
      <c r="H5" s="194">
        <f t="shared" ref="H5:H7" si="4">P5/P$4</f>
        <v>0.25</v>
      </c>
      <c r="J5" s="2" t="s">
        <v>23</v>
      </c>
      <c r="K5" s="18">
        <f>IS!L75/1000</f>
        <v>5.2919999999999998</v>
      </c>
      <c r="L5" s="18">
        <f>IS!Q75/1000</f>
        <v>13.027869000000003</v>
      </c>
      <c r="M5" s="18">
        <f>IS!R75/1000</f>
        <v>19.991241199999997</v>
      </c>
      <c r="N5" s="18">
        <f>IS!S75/1000</f>
        <v>30.374461404200009</v>
      </c>
      <c r="O5" s="18">
        <f>IS!T75/1000</f>
        <v>42.36773083861501</v>
      </c>
      <c r="P5" s="18">
        <f>IS!U75/1000</f>
        <v>54.921132568575004</v>
      </c>
      <c r="R5" t="s">
        <v>149</v>
      </c>
      <c r="S5">
        <v>207.38</v>
      </c>
    </row>
    <row r="6" spans="2:19" x14ac:dyDescent="0.25">
      <c r="B6" s="32"/>
      <c r="C6" s="2" t="s">
        <v>176</v>
      </c>
      <c r="D6" s="194">
        <f t="shared" si="2"/>
        <v>8.2293023727692358E-2</v>
      </c>
      <c r="E6" s="194">
        <f t="shared" si="2"/>
        <v>0.11699999999999998</v>
      </c>
      <c r="F6" s="194">
        <f t="shared" si="2"/>
        <v>0.15200000000000005</v>
      </c>
      <c r="G6" s="194">
        <f t="shared" si="3"/>
        <v>0.18200000000000008</v>
      </c>
      <c r="H6" s="194">
        <f t="shared" si="4"/>
        <v>0.19500000000000001</v>
      </c>
      <c r="J6" s="2" t="s">
        <v>5</v>
      </c>
      <c r="K6" s="18">
        <f>IS!L38/1000</f>
        <v>-1.5329999999999999</v>
      </c>
      <c r="L6" s="18">
        <f>IS!Q38/1000</f>
        <v>5.9213040000000019</v>
      </c>
      <c r="M6" s="18">
        <f>IS!R38/1000</f>
        <v>11.694876101999997</v>
      </c>
      <c r="N6" s="18">
        <f>IS!S38/1000</f>
        <v>20.428841298400009</v>
      </c>
      <c r="O6" s="18">
        <f>IS!T38/1000</f>
        <v>31.732209928510009</v>
      </c>
      <c r="P6" s="18">
        <f>IS!U38/1000</f>
        <v>42.838483403488503</v>
      </c>
      <c r="R6" s="2" t="s">
        <v>25</v>
      </c>
      <c r="S6" s="176">
        <f>S4*S5</f>
        <v>103.69</v>
      </c>
    </row>
    <row r="7" spans="2:19" x14ac:dyDescent="0.25">
      <c r="B7" s="32"/>
      <c r="C7" s="2" t="s">
        <v>177</v>
      </c>
      <c r="D7" s="194">
        <f t="shared" si="2"/>
        <v>4.8111733846254355E-2</v>
      </c>
      <c r="E7" s="194">
        <f t="shared" si="2"/>
        <v>6.6992072858087434E-2</v>
      </c>
      <c r="F7" s="194">
        <f t="shared" si="2"/>
        <v>0.10041371035653945</v>
      </c>
      <c r="G7" s="194">
        <f t="shared" si="3"/>
        <v>0.12505451975380638</v>
      </c>
      <c r="H7" s="194">
        <f t="shared" si="4"/>
        <v>0.13640795218556057</v>
      </c>
      <c r="J7" s="2" t="s">
        <v>10</v>
      </c>
      <c r="K7" s="18">
        <f>IS!L55/1000</f>
        <v>-4.2430000000000003</v>
      </c>
      <c r="L7" s="18">
        <f>IS!Q55/1000</f>
        <v>3.4618268860000008</v>
      </c>
      <c r="M7" s="18">
        <f>IS!R55/1000</f>
        <v>6.6962734349699966</v>
      </c>
      <c r="N7" s="18">
        <f>IS!S55/1000</f>
        <v>13.495629954324007</v>
      </c>
      <c r="O7" s="18">
        <f>IS!T55/1000</f>
        <v>21.803605897454858</v>
      </c>
      <c r="P7" s="18">
        <f>IS!U55/1000</f>
        <v>29.966716901564052</v>
      </c>
      <c r="R7" t="s">
        <v>29</v>
      </c>
      <c r="S7" s="177">
        <f>-BS!N6/1000</f>
        <v>-6.7160000000000002</v>
      </c>
    </row>
    <row r="8" spans="2:19" x14ac:dyDescent="0.25">
      <c r="R8" t="s">
        <v>59</v>
      </c>
      <c r="S8" s="177">
        <f>(BS!N35+BS!N27+BS!N26)/1000</f>
        <v>10.56</v>
      </c>
    </row>
    <row r="9" spans="2:19" x14ac:dyDescent="0.25">
      <c r="J9" s="23" t="s">
        <v>150</v>
      </c>
      <c r="K9" s="178">
        <f>$S$9/K4</f>
        <v>2.628678986995209</v>
      </c>
      <c r="L9" s="178">
        <f>$S$9/L4</f>
        <v>1.4944846630967887</v>
      </c>
      <c r="M9" s="178">
        <f t="shared" ref="L9:M11" si="5">$S$9/M4</f>
        <v>1.0758111407309718</v>
      </c>
      <c r="N9" s="178">
        <f t="shared" ref="N9:P9" si="6">$S$9/N4</f>
        <v>0.80010254919745072</v>
      </c>
      <c r="O9" s="178">
        <f t="shared" si="6"/>
        <v>0.6167609518559295</v>
      </c>
      <c r="P9" s="178">
        <f t="shared" si="6"/>
        <v>0.48949281893327728</v>
      </c>
      <c r="R9" s="2" t="s">
        <v>24</v>
      </c>
      <c r="S9" s="176">
        <f>SUM(S6:S8)</f>
        <v>107.53400000000001</v>
      </c>
    </row>
    <row r="10" spans="2:19" x14ac:dyDescent="0.25">
      <c r="J10" s="23" t="s">
        <v>12</v>
      </c>
      <c r="K10" s="178">
        <f>$S$9/K5</f>
        <v>20.320105820105823</v>
      </c>
      <c r="L10" s="178">
        <f t="shared" si="5"/>
        <v>8.2541511585662999</v>
      </c>
      <c r="M10" s="178">
        <f t="shared" si="5"/>
        <v>5.3790557036548599</v>
      </c>
      <c r="N10" s="178">
        <f t="shared" ref="N10:P10" si="7">$S$9/N5</f>
        <v>3.5402767663604009</v>
      </c>
      <c r="O10" s="178">
        <f t="shared" si="7"/>
        <v>2.5381109129873631</v>
      </c>
      <c r="P10" s="178">
        <f t="shared" si="7"/>
        <v>1.9579712757331091</v>
      </c>
    </row>
    <row r="11" spans="2:19" x14ac:dyDescent="0.25">
      <c r="J11" s="23" t="s">
        <v>21</v>
      </c>
      <c r="K11" s="178">
        <f>$S$9/K6</f>
        <v>-70.146118721461193</v>
      </c>
      <c r="L11" s="178">
        <f t="shared" si="5"/>
        <v>18.1605268028799</v>
      </c>
      <c r="M11" s="178">
        <f t="shared" si="5"/>
        <v>9.1949670147946332</v>
      </c>
      <c r="N11" s="178">
        <f t="shared" ref="N11:P11" si="8">$S$9/N6</f>
        <v>5.2638325605095426</v>
      </c>
      <c r="O11" s="178">
        <f t="shared" si="8"/>
        <v>3.3887964387688418</v>
      </c>
      <c r="P11" s="178">
        <f t="shared" si="8"/>
        <v>2.5102195842732167</v>
      </c>
    </row>
    <row r="12" spans="2:19" x14ac:dyDescent="0.25">
      <c r="J12" s="23" t="s">
        <v>13</v>
      </c>
      <c r="K12" s="178">
        <f>$S$6/K7</f>
        <v>-24.437897713881686</v>
      </c>
      <c r="L12" s="178">
        <f t="shared" ref="L12:M12" si="9">$S$6/L7</f>
        <v>29.952393176947549</v>
      </c>
      <c r="M12" s="178">
        <f t="shared" si="9"/>
        <v>15.48473206880994</v>
      </c>
      <c r="N12" s="178">
        <f t="shared" ref="N12:P12" si="10">$S$6/N7</f>
        <v>7.683227856049629</v>
      </c>
      <c r="O12" s="178">
        <f t="shared" si="10"/>
        <v>4.7556353975423749</v>
      </c>
      <c r="P12" s="178">
        <f t="shared" si="10"/>
        <v>3.4601721750369028</v>
      </c>
    </row>
    <row r="15" spans="2:19" x14ac:dyDescent="0.25">
      <c r="C15" s="11" t="s">
        <v>140</v>
      </c>
      <c r="D15" s="11"/>
      <c r="J15" s="11" t="s">
        <v>151</v>
      </c>
    </row>
    <row r="16" spans="2:19" x14ac:dyDescent="0.25">
      <c r="C16" s="179"/>
      <c r="D16" s="179" t="s">
        <v>142</v>
      </c>
      <c r="E16" s="179" t="s">
        <v>143</v>
      </c>
      <c r="F16" s="179" t="str">
        <f>F3</f>
        <v>Dec'25e</v>
      </c>
      <c r="G16" s="179" t="str">
        <f t="shared" ref="G16:H16" si="11">G3</f>
        <v>Dec'26e</v>
      </c>
      <c r="H16" s="179" t="str">
        <f t="shared" si="11"/>
        <v>Dec'27e</v>
      </c>
      <c r="J16" s="179"/>
      <c r="K16" s="179" t="s">
        <v>144</v>
      </c>
      <c r="L16" s="179" t="s">
        <v>142</v>
      </c>
      <c r="M16" s="179" t="s">
        <v>143</v>
      </c>
      <c r="N16" s="179" t="str">
        <f>N3</f>
        <v>Dec'25e</v>
      </c>
      <c r="O16" s="179" t="str">
        <f t="shared" ref="O16:P16" si="12">O3</f>
        <v>Dec'26e</v>
      </c>
      <c r="P16" s="179" t="str">
        <f t="shared" si="12"/>
        <v>Dec'27e</v>
      </c>
      <c r="R16" s="180" t="s">
        <v>145</v>
      </c>
      <c r="S16" s="181"/>
    </row>
    <row r="17" spans="2:19" x14ac:dyDescent="0.25">
      <c r="B17" s="32"/>
      <c r="C17" s="2" t="s">
        <v>146</v>
      </c>
      <c r="D17" s="174">
        <v>0.5</v>
      </c>
      <c r="E17" s="174">
        <f>E4-0.15</f>
        <v>0.23917009362939337</v>
      </c>
      <c r="F17" s="174">
        <f t="shared" ref="F17:H17" si="13">F4-0.15</f>
        <v>0.19459156743104092</v>
      </c>
      <c r="G17" s="174">
        <f t="shared" si="13"/>
        <v>0.14726524805083377</v>
      </c>
      <c r="H17" s="174">
        <f t="shared" si="13"/>
        <v>0.11000000000000024</v>
      </c>
      <c r="J17" s="2" t="s">
        <v>147</v>
      </c>
      <c r="K17" s="18">
        <f>K4</f>
        <v>40.908000000000001</v>
      </c>
      <c r="L17" s="18">
        <f>K17*(1+D17)</f>
        <v>61.362000000000002</v>
      </c>
      <c r="M17" s="18">
        <f>L17*(1+E17)</f>
        <v>76.037955285286841</v>
      </c>
      <c r="N17" s="18">
        <f>M17*(1+F17)</f>
        <v>90.834300188502212</v>
      </c>
      <c r="O17" s="18">
        <f t="shared" ref="O17:P17" si="14">N17*(1+G17)</f>
        <v>104.2110359372859</v>
      </c>
      <c r="P17" s="18">
        <f t="shared" si="14"/>
        <v>115.67424989038739</v>
      </c>
      <c r="R17" t="s">
        <v>148</v>
      </c>
      <c r="S17" s="175">
        <f>S4</f>
        <v>0.5</v>
      </c>
    </row>
    <row r="18" spans="2:19" x14ac:dyDescent="0.25">
      <c r="B18" s="32"/>
      <c r="C18" s="2" t="s">
        <v>175</v>
      </c>
      <c r="D18" s="174">
        <f>D5-0.05</f>
        <v>0.13105855276781392</v>
      </c>
      <c r="E18" s="174">
        <f t="shared" ref="E18:H18" si="15">E5-0.05</f>
        <v>0.14999999999999997</v>
      </c>
      <c r="F18" s="174">
        <f t="shared" si="15"/>
        <v>0.17600000000000005</v>
      </c>
      <c r="G18" s="174">
        <f t="shared" si="15"/>
        <v>0.19300000000000006</v>
      </c>
      <c r="H18" s="174">
        <f t="shared" si="15"/>
        <v>0.2</v>
      </c>
      <c r="J18" s="2" t="s">
        <v>23</v>
      </c>
      <c r="K18" s="18">
        <f>K5</f>
        <v>5.2919999999999998</v>
      </c>
      <c r="L18" s="18">
        <f t="shared" ref="L18:N20" si="16">D18*L$17</f>
        <v>8.0420149149385978</v>
      </c>
      <c r="M18" s="18">
        <f t="shared" si="16"/>
        <v>11.405693292793023</v>
      </c>
      <c r="N18" s="18">
        <f t="shared" si="16"/>
        <v>15.986836833176394</v>
      </c>
      <c r="O18" s="18">
        <f t="shared" ref="O18:P20" si="17">G18*O$17</f>
        <v>20.112729935896184</v>
      </c>
      <c r="P18" s="18">
        <f t="shared" si="17"/>
        <v>23.134849978077479</v>
      </c>
      <c r="R18" t="s">
        <v>149</v>
      </c>
      <c r="S18">
        <f>S5</f>
        <v>207.38</v>
      </c>
    </row>
    <row r="19" spans="2:19" x14ac:dyDescent="0.25">
      <c r="B19" s="32"/>
      <c r="C19" s="2" t="s">
        <v>176</v>
      </c>
      <c r="D19" s="174">
        <f>D6-0.05</f>
        <v>3.2293023727692355E-2</v>
      </c>
      <c r="E19" s="174">
        <f t="shared" ref="E19:H20" si="18">E6-0.05</f>
        <v>6.6999999999999976E-2</v>
      </c>
      <c r="F19" s="174">
        <f t="shared" si="18"/>
        <v>0.10200000000000005</v>
      </c>
      <c r="G19" s="174">
        <f t="shared" si="18"/>
        <v>0.13200000000000006</v>
      </c>
      <c r="H19" s="174">
        <f t="shared" si="18"/>
        <v>0.14500000000000002</v>
      </c>
      <c r="J19" s="2" t="s">
        <v>5</v>
      </c>
      <c r="K19" s="18">
        <f>K6</f>
        <v>-1.5329999999999999</v>
      </c>
      <c r="L19" s="18">
        <f t="shared" si="16"/>
        <v>1.9815645219786584</v>
      </c>
      <c r="M19" s="18">
        <f t="shared" si="16"/>
        <v>5.0945430041142163</v>
      </c>
      <c r="N19" s="18">
        <f t="shared" si="16"/>
        <v>9.2650986192272295</v>
      </c>
      <c r="O19" s="18">
        <f t="shared" si="17"/>
        <v>13.755856743721745</v>
      </c>
      <c r="P19" s="18">
        <f t="shared" si="17"/>
        <v>16.772766234106172</v>
      </c>
      <c r="R19" s="2" t="s">
        <v>25</v>
      </c>
      <c r="S19" s="176">
        <f>S17*S18</f>
        <v>103.69</v>
      </c>
    </row>
    <row r="20" spans="2:19" x14ac:dyDescent="0.25">
      <c r="B20" s="32"/>
      <c r="C20" s="2" t="s">
        <v>177</v>
      </c>
      <c r="D20" s="174">
        <f>D7-0.05</f>
        <v>-1.8882661537456477E-3</v>
      </c>
      <c r="E20" s="174">
        <f t="shared" si="18"/>
        <v>1.6992072858087431E-2</v>
      </c>
      <c r="F20" s="174">
        <f t="shared" si="18"/>
        <v>5.0413710356539451E-2</v>
      </c>
      <c r="G20" s="174">
        <f t="shared" si="18"/>
        <v>7.5054519753806379E-2</v>
      </c>
      <c r="H20" s="174">
        <f t="shared" si="18"/>
        <v>8.6407952185560563E-2</v>
      </c>
      <c r="J20" s="2" t="s">
        <v>10</v>
      </c>
      <c r="K20" s="18">
        <f>K7</f>
        <v>-4.2430000000000003</v>
      </c>
      <c r="L20" s="18">
        <f t="shared" si="16"/>
        <v>-0.11586778772614044</v>
      </c>
      <c r="M20" s="18">
        <f t="shared" si="16"/>
        <v>1.2920424761875884</v>
      </c>
      <c r="N20" s="18">
        <f t="shared" si="16"/>
        <v>4.579294100142107</v>
      </c>
      <c r="O20" s="18">
        <f t="shared" si="17"/>
        <v>7.8215092553196506</v>
      </c>
      <c r="P20" s="18">
        <f t="shared" si="17"/>
        <v>9.9951750536291772</v>
      </c>
      <c r="R20" t="s">
        <v>29</v>
      </c>
      <c r="S20" s="177">
        <f>S7</f>
        <v>-6.7160000000000002</v>
      </c>
    </row>
    <row r="21" spans="2:19" x14ac:dyDescent="0.25">
      <c r="R21" t="s">
        <v>59</v>
      </c>
      <c r="S21" s="177">
        <f>S8</f>
        <v>10.56</v>
      </c>
    </row>
    <row r="22" spans="2:19" x14ac:dyDescent="0.25">
      <c r="J22" s="23" t="s">
        <v>150</v>
      </c>
      <c r="K22" s="178">
        <f>$S$9/K17</f>
        <v>2.628678986995209</v>
      </c>
      <c r="L22" s="178">
        <f t="shared" ref="L22:M24" si="19">$S$9/L17</f>
        <v>1.7524526579968058</v>
      </c>
      <c r="M22" s="178">
        <f t="shared" si="19"/>
        <v>1.4142147772982998</v>
      </c>
      <c r="N22" s="178">
        <f t="shared" ref="N22:P22" si="20">$S$9/N17</f>
        <v>1.1838479492531131</v>
      </c>
      <c r="O22" s="178">
        <f t="shared" si="20"/>
        <v>1.0318868729480231</v>
      </c>
      <c r="P22" s="178">
        <f t="shared" si="20"/>
        <v>0.92962781346668721</v>
      </c>
      <c r="R22" s="2" t="s">
        <v>24</v>
      </c>
      <c r="S22" s="176">
        <f>SUM(S19:S21)</f>
        <v>107.53400000000001</v>
      </c>
    </row>
    <row r="23" spans="2:19" x14ac:dyDescent="0.25">
      <c r="J23" s="23" t="s">
        <v>12</v>
      </c>
      <c r="K23" s="178">
        <f>$S$9/K18</f>
        <v>20.320105820105823</v>
      </c>
      <c r="L23" s="178">
        <f t="shared" si="19"/>
        <v>13.37152456659191</v>
      </c>
      <c r="M23" s="178">
        <f t="shared" si="19"/>
        <v>9.4280985153220005</v>
      </c>
      <c r="N23" s="178">
        <f t="shared" ref="N23:P23" si="21">$S$9/N18</f>
        <v>6.7264088025745039</v>
      </c>
      <c r="O23" s="178">
        <f t="shared" si="21"/>
        <v>5.3465641085389786</v>
      </c>
      <c r="P23" s="178">
        <f t="shared" si="21"/>
        <v>4.6481390673334353</v>
      </c>
    </row>
    <row r="24" spans="2:19" x14ac:dyDescent="0.25">
      <c r="J24" s="23" t="s">
        <v>21</v>
      </c>
      <c r="K24" s="178">
        <f>$S$9/K19</f>
        <v>-70.146118721461193</v>
      </c>
      <c r="L24" s="178">
        <f t="shared" si="19"/>
        <v>54.267221080756791</v>
      </c>
      <c r="M24" s="178">
        <f t="shared" si="19"/>
        <v>21.107683243258215</v>
      </c>
      <c r="N24" s="178">
        <f t="shared" ref="N24:P24" si="22">$S$9/N19</f>
        <v>11.606352443657967</v>
      </c>
      <c r="O24" s="178">
        <f t="shared" si="22"/>
        <v>7.8173247950607774</v>
      </c>
      <c r="P24" s="178">
        <f t="shared" si="22"/>
        <v>6.4112262997702558</v>
      </c>
    </row>
    <row r="25" spans="2:19" x14ac:dyDescent="0.25">
      <c r="J25" s="23" t="s">
        <v>13</v>
      </c>
      <c r="K25" s="178">
        <f>$S$6/K20</f>
        <v>-24.437897713881686</v>
      </c>
      <c r="L25" s="178">
        <f t="shared" ref="L25:M25" si="23">$S$6/L20</f>
        <v>-894.89928162844296</v>
      </c>
      <c r="M25" s="178">
        <f t="shared" si="23"/>
        <v>80.252779541704101</v>
      </c>
      <c r="N25" s="178">
        <f t="shared" ref="N25:P25" si="24">$S$6/N20</f>
        <v>22.643227915145751</v>
      </c>
      <c r="O25" s="178">
        <f t="shared" si="24"/>
        <v>13.257032193559986</v>
      </c>
      <c r="P25" s="178">
        <f t="shared" si="24"/>
        <v>10.374005401971514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2EAB-F521-46CF-B475-06460BACBD08}">
  <sheetPr>
    <pageSetUpPr autoPageBreaks="0" fitToPage="1"/>
  </sheetPr>
  <dimension ref="A1:AH83"/>
  <sheetViews>
    <sheetView showGridLines="0" zoomScale="85" zoomScaleNormal="85" workbookViewId="0">
      <pane xSplit="2" ySplit="3" topLeftCell="C4" activePane="bottomRight" state="frozen"/>
      <selection activeCell="N45" sqref="N45"/>
      <selection pane="topRight" activeCell="N45" sqref="N45"/>
      <selection pane="bottomLeft" activeCell="N45" sqref="N45"/>
      <selection pane="bottomRight" activeCell="C4" sqref="C4"/>
    </sheetView>
  </sheetViews>
  <sheetFormatPr defaultRowHeight="15" outlineLevelRow="1" outlineLevelCol="1" x14ac:dyDescent="0.25"/>
  <cols>
    <col min="1" max="1" width="1.28515625" customWidth="1"/>
    <col min="2" max="2" width="38.5703125" customWidth="1"/>
    <col min="3" max="7" width="12" customWidth="1"/>
    <col min="8" max="11" width="12" hidden="1" customWidth="1" outlineLevel="1"/>
    <col min="12" max="12" width="12" customWidth="1" collapsed="1"/>
    <col min="13" max="16" width="12" customWidth="1" outlineLevel="1"/>
    <col min="17" max="21" width="12" customWidth="1"/>
    <col min="22" max="22" width="2.85546875" customWidth="1"/>
    <col min="23" max="23" width="9" customWidth="1"/>
    <col min="24" max="30" width="12" customWidth="1"/>
  </cols>
  <sheetData>
    <row r="1" spans="2:34" ht="4.9000000000000004" customHeight="1" x14ac:dyDescent="0.25"/>
    <row r="2" spans="2:34" x14ac:dyDescent="0.25">
      <c r="B2" s="221" t="s">
        <v>14</v>
      </c>
      <c r="C2" s="222">
        <v>43100</v>
      </c>
      <c r="D2" s="222">
        <f>EOMONTH(C2,12)</f>
        <v>43465</v>
      </c>
      <c r="E2" s="222">
        <f t="shared" ref="E2:G2" si="0">EOMONTH(D2,12)</f>
        <v>43830</v>
      </c>
      <c r="F2" s="222">
        <f t="shared" si="0"/>
        <v>44196</v>
      </c>
      <c r="G2" s="222">
        <f t="shared" si="0"/>
        <v>44561</v>
      </c>
      <c r="H2" s="222">
        <f>EOMONTH(G2,3)</f>
        <v>44651</v>
      </c>
      <c r="I2" s="222">
        <f t="shared" ref="I2:P2" si="1">EOMONTH(H2,3)</f>
        <v>44742</v>
      </c>
      <c r="J2" s="222">
        <f t="shared" si="1"/>
        <v>44834</v>
      </c>
      <c r="K2" s="222">
        <f t="shared" si="1"/>
        <v>44926</v>
      </c>
      <c r="L2" s="222">
        <f>K2</f>
        <v>44926</v>
      </c>
      <c r="M2" s="222">
        <f t="shared" si="1"/>
        <v>45016</v>
      </c>
      <c r="N2" s="222">
        <f t="shared" si="1"/>
        <v>45107</v>
      </c>
      <c r="O2" s="223">
        <f t="shared" si="1"/>
        <v>45199</v>
      </c>
      <c r="P2" s="223">
        <f t="shared" si="1"/>
        <v>45291</v>
      </c>
      <c r="Q2" s="223">
        <f>P2</f>
        <v>45291</v>
      </c>
      <c r="R2" s="223">
        <f t="shared" ref="R2:U2" si="2">EOMONTH(Q2,12)</f>
        <v>45657</v>
      </c>
      <c r="S2" s="223">
        <f t="shared" si="2"/>
        <v>46022</v>
      </c>
      <c r="T2" s="223">
        <f t="shared" si="2"/>
        <v>46387</v>
      </c>
      <c r="U2" s="224">
        <f t="shared" si="2"/>
        <v>46752</v>
      </c>
    </row>
    <row r="3" spans="2:34" s="4" customFormat="1" x14ac:dyDescent="0.25">
      <c r="B3" s="225" t="s">
        <v>106</v>
      </c>
      <c r="C3" s="9">
        <v>2017</v>
      </c>
      <c r="D3" s="9">
        <v>2018</v>
      </c>
      <c r="E3" s="9">
        <v>2019</v>
      </c>
      <c r="F3" s="9">
        <v>2020</v>
      </c>
      <c r="G3" s="9">
        <v>2021</v>
      </c>
      <c r="H3" s="9" t="s">
        <v>85</v>
      </c>
      <c r="I3" s="9" t="s">
        <v>84</v>
      </c>
      <c r="J3" s="9" t="s">
        <v>86</v>
      </c>
      <c r="K3" s="9" t="s">
        <v>87</v>
      </c>
      <c r="L3" s="9">
        <v>2022</v>
      </c>
      <c r="M3" s="9" t="s">
        <v>81</v>
      </c>
      <c r="N3" s="9" t="s">
        <v>162</v>
      </c>
      <c r="O3" s="226" t="s">
        <v>82</v>
      </c>
      <c r="P3" s="226" t="s">
        <v>83</v>
      </c>
      <c r="Q3" s="226">
        <f>L3+1</f>
        <v>2023</v>
      </c>
      <c r="R3" s="226">
        <f t="shared" ref="R3:U3" si="3">Q3+1</f>
        <v>2024</v>
      </c>
      <c r="S3" s="226">
        <f t="shared" si="3"/>
        <v>2025</v>
      </c>
      <c r="T3" s="226">
        <f t="shared" si="3"/>
        <v>2026</v>
      </c>
      <c r="U3" s="227">
        <f t="shared" si="3"/>
        <v>2027</v>
      </c>
      <c r="V3"/>
      <c r="Z3" s="14"/>
    </row>
    <row r="4" spans="2:34" s="4" customFormat="1" ht="4.5" customHeight="1" x14ac:dyDescent="0.25">
      <c r="B4" s="228"/>
      <c r="C4" s="220"/>
      <c r="D4" s="150"/>
      <c r="E4" s="150"/>
      <c r="F4" s="150"/>
      <c r="G4" s="150"/>
      <c r="H4" s="229"/>
      <c r="I4" s="229"/>
      <c r="J4" s="229"/>
      <c r="K4" s="229"/>
      <c r="L4" s="150"/>
      <c r="M4" s="229"/>
      <c r="N4" s="229"/>
      <c r="O4" s="229"/>
      <c r="P4" s="229"/>
      <c r="Q4" s="150"/>
      <c r="R4" s="150"/>
      <c r="S4" s="150"/>
      <c r="T4" s="150"/>
      <c r="U4" s="150"/>
      <c r="V4"/>
      <c r="Y4"/>
      <c r="Z4"/>
      <c r="AA4"/>
      <c r="AB4"/>
      <c r="AC4"/>
      <c r="AD4"/>
      <c r="AE4"/>
      <c r="AF4"/>
      <c r="AG4"/>
      <c r="AH4"/>
    </row>
    <row r="5" spans="2:34" s="4" customFormat="1" ht="14.45" customHeight="1" x14ac:dyDescent="0.25">
      <c r="B5" s="230" t="s">
        <v>0</v>
      </c>
      <c r="C5" s="219"/>
      <c r="D5" s="150"/>
      <c r="E5" s="150"/>
      <c r="F5" s="150"/>
      <c r="G5" s="150"/>
      <c r="H5" s="229"/>
      <c r="I5" s="229"/>
      <c r="J5" s="229"/>
      <c r="K5" s="229"/>
      <c r="L5" s="150"/>
      <c r="M5" s="229"/>
      <c r="N5" s="229"/>
      <c r="O5" s="229"/>
      <c r="P5" s="229"/>
      <c r="Q5" s="150"/>
      <c r="R5" s="150"/>
      <c r="S5" s="167"/>
      <c r="T5" s="150"/>
      <c r="U5" s="150"/>
      <c r="V5"/>
      <c r="Y5"/>
      <c r="Z5"/>
      <c r="AA5"/>
      <c r="AB5"/>
      <c r="AC5"/>
      <c r="AD5"/>
      <c r="AE5"/>
      <c r="AF5"/>
      <c r="AG5"/>
      <c r="AH5"/>
    </row>
    <row r="6" spans="2:34" s="4" customFormat="1" ht="14.45" customHeight="1" x14ac:dyDescent="0.25">
      <c r="B6" s="228" t="s">
        <v>121</v>
      </c>
      <c r="C6" s="151">
        <v>2874.4670000000001</v>
      </c>
      <c r="D6" s="151">
        <v>6471.7839999999997</v>
      </c>
      <c r="E6" s="151">
        <v>14394.964</v>
      </c>
      <c r="F6" s="151">
        <v>10730.26</v>
      </c>
      <c r="G6" s="151">
        <v>14320</v>
      </c>
      <c r="H6" s="154">
        <v>1162</v>
      </c>
      <c r="I6" s="231">
        <v>3860</v>
      </c>
      <c r="J6" s="231">
        <v>3618</v>
      </c>
      <c r="K6" s="232">
        <f>L6-H6-I6-J6</f>
        <v>4386</v>
      </c>
      <c r="L6" s="151">
        <v>13026</v>
      </c>
      <c r="M6" s="154">
        <v>3870</v>
      </c>
      <c r="N6" s="231">
        <v>6715</v>
      </c>
      <c r="O6" s="232">
        <f>J6*(1+O7)</f>
        <v>12663</v>
      </c>
      <c r="P6" s="232">
        <f>K6*(1+P7)</f>
        <v>14035.2</v>
      </c>
      <c r="Q6" s="165">
        <f>SUM(M6:P6)</f>
        <v>37283.199999999997</v>
      </c>
      <c r="R6" s="169">
        <f>Q6*(1+R7)</f>
        <v>54060.639999999992</v>
      </c>
      <c r="S6" s="169">
        <f t="shared" ref="S6:U6" si="4">R6*(1+S7)</f>
        <v>72441.257599999997</v>
      </c>
      <c r="T6" s="169">
        <f t="shared" si="4"/>
        <v>94173.634879999998</v>
      </c>
      <c r="U6" s="169">
        <f t="shared" si="4"/>
        <v>118658.7799488</v>
      </c>
      <c r="V6"/>
      <c r="Y6"/>
      <c r="Z6"/>
      <c r="AA6"/>
      <c r="AB6"/>
      <c r="AC6"/>
      <c r="AD6"/>
      <c r="AE6"/>
      <c r="AF6"/>
      <c r="AG6"/>
      <c r="AH6"/>
    </row>
    <row r="7" spans="2:34" s="4" customFormat="1" ht="14.45" customHeight="1" x14ac:dyDescent="0.25">
      <c r="B7" s="233" t="s">
        <v>3</v>
      </c>
      <c r="C7" s="46"/>
      <c r="D7" s="46">
        <f>D6/C6-1</f>
        <v>1.2514727078098304</v>
      </c>
      <c r="E7" s="46">
        <f>E6/D6-1</f>
        <v>1.2242652103345848</v>
      </c>
      <c r="F7" s="46">
        <f>F6/E6-1</f>
        <v>-0.2545823664442648</v>
      </c>
      <c r="G7" s="46">
        <f>G6/F6-1</f>
        <v>0.33454361776881458</v>
      </c>
      <c r="H7" s="59"/>
      <c r="I7" s="60"/>
      <c r="J7" s="60"/>
      <c r="K7" s="229"/>
      <c r="L7" s="46">
        <f>L6/G6-1</f>
        <v>-9.0363128491620093E-2</v>
      </c>
      <c r="M7" s="59">
        <f>M6/H6-1</f>
        <v>2.3304647160068845</v>
      </c>
      <c r="N7" s="60">
        <f>N6/I6-1</f>
        <v>0.73963730569948183</v>
      </c>
      <c r="O7" s="68">
        <v>2.5</v>
      </c>
      <c r="P7" s="68">
        <v>2.2000000000000002</v>
      </c>
      <c r="Q7" s="46">
        <f>Q6/L6-1</f>
        <v>1.8622140334715183</v>
      </c>
      <c r="R7" s="54">
        <v>0.45</v>
      </c>
      <c r="S7" s="54">
        <v>0.34</v>
      </c>
      <c r="T7" s="54">
        <v>0.3</v>
      </c>
      <c r="U7" s="54">
        <v>0.26</v>
      </c>
      <c r="V7"/>
      <c r="Y7"/>
      <c r="Z7"/>
      <c r="AA7"/>
      <c r="AB7"/>
      <c r="AC7"/>
      <c r="AD7"/>
      <c r="AE7"/>
      <c r="AF7"/>
      <c r="AG7"/>
      <c r="AH7"/>
    </row>
    <row r="8" spans="2:34" s="4" customFormat="1" ht="14.45" customHeight="1" x14ac:dyDescent="0.25">
      <c r="B8" s="233" t="s">
        <v>139</v>
      </c>
      <c r="C8" s="46">
        <f t="shared" ref="C8:H8" si="5">C6/C$16</f>
        <v>0.81346585144632755</v>
      </c>
      <c r="D8" s="46">
        <f t="shared" si="5"/>
        <v>0.96479225564389515</v>
      </c>
      <c r="E8" s="46">
        <f t="shared" si="5"/>
        <v>0.95041508054680657</v>
      </c>
      <c r="F8" s="46">
        <f t="shared" si="5"/>
        <v>0.8741627935187084</v>
      </c>
      <c r="G8" s="46">
        <f t="shared" si="5"/>
        <v>0.55874205002146005</v>
      </c>
      <c r="H8" s="59">
        <f t="shared" si="5"/>
        <v>0.21081277213352684</v>
      </c>
      <c r="I8" s="60">
        <f t="shared" ref="I8:K8" si="6">I6/I$16</f>
        <v>0.27008116428771339</v>
      </c>
      <c r="J8" s="60">
        <f t="shared" si="6"/>
        <v>0.29436172809372713</v>
      </c>
      <c r="K8" s="60">
        <f t="shared" si="6"/>
        <v>0.49767389084307273</v>
      </c>
      <c r="L8" s="46">
        <f>L6/L$16</f>
        <v>0.31842182458198887</v>
      </c>
      <c r="M8" s="59">
        <f>M6/M$16</f>
        <v>0.5106888361045131</v>
      </c>
      <c r="N8" s="60">
        <f>N6/N$16</f>
        <v>0.49176125961186379</v>
      </c>
      <c r="O8" s="60">
        <f t="shared" ref="O8:P8" si="7">O6/O$16</f>
        <v>0.44786096256684488</v>
      </c>
      <c r="P8" s="60">
        <f t="shared" si="7"/>
        <v>0.62527342792863028</v>
      </c>
      <c r="Q8" s="46">
        <f>Q6/Q$16</f>
        <v>0.51815398470409524</v>
      </c>
      <c r="R8" s="46">
        <f>R6/R$16</f>
        <v>0.54084325689592494</v>
      </c>
      <c r="S8" s="46">
        <f>S6/S$16</f>
        <v>0.53899636275809693</v>
      </c>
      <c r="T8" s="46">
        <f>T6/T$16</f>
        <v>0.54013261562223625</v>
      </c>
      <c r="U8" s="46">
        <f>U6/U$16</f>
        <v>0.54013261562223613</v>
      </c>
      <c r="V8"/>
      <c r="Y8"/>
      <c r="Z8"/>
      <c r="AA8"/>
      <c r="AB8"/>
      <c r="AC8"/>
      <c r="AD8"/>
      <c r="AE8"/>
      <c r="AF8"/>
      <c r="AG8"/>
      <c r="AH8"/>
    </row>
    <row r="9" spans="2:34" s="4" customFormat="1" ht="14.45" customHeight="1" x14ac:dyDescent="0.25">
      <c r="B9" s="228" t="s">
        <v>122</v>
      </c>
      <c r="C9" s="151"/>
      <c r="D9" s="151"/>
      <c r="E9" s="151"/>
      <c r="F9" s="151"/>
      <c r="G9" s="151">
        <v>7831</v>
      </c>
      <c r="H9" s="154">
        <v>2564</v>
      </c>
      <c r="I9" s="231">
        <v>4631</v>
      </c>
      <c r="J9" s="231">
        <v>3985</v>
      </c>
      <c r="K9" s="232">
        <f>L9-H9-I9-J9</f>
        <v>694</v>
      </c>
      <c r="L9" s="151">
        <v>11874</v>
      </c>
      <c r="M9" s="154">
        <v>1458</v>
      </c>
      <c r="N9" s="231">
        <v>3778</v>
      </c>
      <c r="O9" s="232">
        <f>J9*(1+O10)</f>
        <v>7173</v>
      </c>
      <c r="P9" s="232">
        <f>K9*(1+P10)</f>
        <v>1318.6</v>
      </c>
      <c r="Q9" s="165">
        <f>SUM(M9:P9)</f>
        <v>13727.6</v>
      </c>
      <c r="R9" s="169">
        <f>Q9*(1+R10)</f>
        <v>18669.536</v>
      </c>
      <c r="S9" s="169">
        <f t="shared" ref="S9:U9" si="8">R9*(1+S10)</f>
        <v>25203.873600000003</v>
      </c>
      <c r="T9" s="169">
        <f t="shared" si="8"/>
        <v>32765.035680000005</v>
      </c>
      <c r="U9" s="169">
        <f t="shared" si="8"/>
        <v>41283.944956800005</v>
      </c>
      <c r="V9"/>
      <c r="Y9"/>
      <c r="Z9"/>
      <c r="AA9"/>
      <c r="AB9"/>
      <c r="AC9"/>
      <c r="AD9"/>
      <c r="AE9"/>
      <c r="AF9"/>
      <c r="AG9"/>
      <c r="AH9"/>
    </row>
    <row r="10" spans="2:34" s="4" customFormat="1" ht="14.45" customHeight="1" x14ac:dyDescent="0.25">
      <c r="B10" s="233" t="s">
        <v>3</v>
      </c>
      <c r="C10" s="46"/>
      <c r="D10" s="46"/>
      <c r="E10" s="46"/>
      <c r="F10" s="46"/>
      <c r="G10" s="46"/>
      <c r="H10" s="59"/>
      <c r="I10" s="60"/>
      <c r="J10" s="60"/>
      <c r="K10" s="229"/>
      <c r="L10" s="46">
        <f>L9/G9-1</f>
        <v>0.51628144553696842</v>
      </c>
      <c r="M10" s="59">
        <f>M9/H9-1</f>
        <v>-0.43135725429017158</v>
      </c>
      <c r="N10" s="60">
        <f>N9/I9-1</f>
        <v>-0.18419347873029579</v>
      </c>
      <c r="O10" s="68">
        <v>0.8</v>
      </c>
      <c r="P10" s="68">
        <v>0.9</v>
      </c>
      <c r="Q10" s="46">
        <f>Q9/L9-1</f>
        <v>0.15610577732861719</v>
      </c>
      <c r="R10" s="54">
        <v>0.36</v>
      </c>
      <c r="S10" s="54">
        <v>0.35</v>
      </c>
      <c r="T10" s="54">
        <v>0.3</v>
      </c>
      <c r="U10" s="54">
        <v>0.26</v>
      </c>
      <c r="V10"/>
      <c r="Y10"/>
      <c r="Z10"/>
      <c r="AA10"/>
      <c r="AB10"/>
      <c r="AC10"/>
      <c r="AD10"/>
      <c r="AE10"/>
      <c r="AF10"/>
      <c r="AG10"/>
      <c r="AH10"/>
    </row>
    <row r="11" spans="2:34" s="4" customFormat="1" ht="14.45" customHeight="1" x14ac:dyDescent="0.25">
      <c r="B11" s="233" t="s">
        <v>139</v>
      </c>
      <c r="C11" s="46"/>
      <c r="D11" s="46"/>
      <c r="E11" s="46"/>
      <c r="F11" s="46"/>
      <c r="G11" s="46">
        <f>G9/G$16</f>
        <v>0.30555230403059036</v>
      </c>
      <c r="H11" s="59">
        <f>H9/H$16</f>
        <v>0.46516690856313497</v>
      </c>
      <c r="I11" s="60">
        <f t="shared" ref="I11:K11" si="9">I9/I$16</f>
        <v>0.32402742793171002</v>
      </c>
      <c r="J11" s="60">
        <f t="shared" si="9"/>
        <v>0.32422097469693273</v>
      </c>
      <c r="K11" s="60">
        <f t="shared" si="9"/>
        <v>7.8747305117440144E-2</v>
      </c>
      <c r="L11" s="46">
        <f>L9/L$16</f>
        <v>0.29026107362863007</v>
      </c>
      <c r="M11" s="59">
        <f>M9/M$16</f>
        <v>0.19239904988123516</v>
      </c>
      <c r="N11" s="60">
        <f>N9/N$16</f>
        <v>0.27667521054558769</v>
      </c>
      <c r="O11" s="60">
        <f t="shared" ref="O11:P11" si="10">O9/O$16</f>
        <v>0.25369238604532723</v>
      </c>
      <c r="P11" s="60">
        <f t="shared" si="10"/>
        <v>5.874412491925244E-2</v>
      </c>
      <c r="Q11" s="46">
        <f>Q9/Q$16</f>
        <v>0.19078326539631627</v>
      </c>
      <c r="R11" s="46">
        <f>R9/R$16</f>
        <v>0.18677715718821902</v>
      </c>
      <c r="S11" s="46">
        <f>S9/S$16</f>
        <v>0.18752844232531415</v>
      </c>
      <c r="T11" s="46">
        <f>T9/T$16</f>
        <v>0.18792376916687087</v>
      </c>
      <c r="U11" s="46">
        <f>U9/U$16</f>
        <v>0.18792376916687084</v>
      </c>
      <c r="V11"/>
      <c r="Y11"/>
      <c r="Z11"/>
      <c r="AA11"/>
      <c r="AB11"/>
      <c r="AC11"/>
      <c r="AD11"/>
      <c r="AE11"/>
      <c r="AF11"/>
      <c r="AG11"/>
      <c r="AH11"/>
    </row>
    <row r="12" spans="2:34" s="4" customFormat="1" ht="14.45" customHeight="1" x14ac:dyDescent="0.25">
      <c r="B12" s="228" t="s">
        <v>123</v>
      </c>
      <c r="C12" s="151">
        <v>659.13800000000003</v>
      </c>
      <c r="D12" s="151">
        <v>236.172</v>
      </c>
      <c r="E12" s="151">
        <v>751.01199999999994</v>
      </c>
      <c r="F12" s="151">
        <v>1544.6389999999999</v>
      </c>
      <c r="G12" s="151">
        <v>3478</v>
      </c>
      <c r="H12" s="154">
        <v>1786</v>
      </c>
      <c r="I12" s="231">
        <v>5801</v>
      </c>
      <c r="J12" s="231">
        <v>4688</v>
      </c>
      <c r="K12" s="232">
        <f>L12-H12-I12-J12</f>
        <v>3733</v>
      </c>
      <c r="L12" s="151">
        <v>16008</v>
      </c>
      <c r="M12" s="154">
        <v>2250</v>
      </c>
      <c r="N12" s="231">
        <v>3162</v>
      </c>
      <c r="O12" s="232">
        <f>J12*(1+O13)</f>
        <v>8438.4</v>
      </c>
      <c r="P12" s="232">
        <f>K12*(1+P13)</f>
        <v>7092.7</v>
      </c>
      <c r="Q12" s="165">
        <f>SUM(M12:P12)</f>
        <v>20943.099999999999</v>
      </c>
      <c r="R12" s="169">
        <f>Q12*(1+R13)</f>
        <v>27226.03</v>
      </c>
      <c r="S12" s="169">
        <f t="shared" ref="S12:U12" si="11">R12*(1+S13)</f>
        <v>36755.140500000001</v>
      </c>
      <c r="T12" s="169">
        <f t="shared" si="11"/>
        <v>47414.131245000004</v>
      </c>
      <c r="U12" s="169">
        <f t="shared" si="11"/>
        <v>59741.805368700007</v>
      </c>
      <c r="V12"/>
      <c r="Y12"/>
      <c r="Z12"/>
      <c r="AA12"/>
      <c r="AB12"/>
      <c r="AC12"/>
      <c r="AD12"/>
      <c r="AE12"/>
      <c r="AF12"/>
      <c r="AG12"/>
      <c r="AH12"/>
    </row>
    <row r="13" spans="2:34" s="4" customFormat="1" ht="14.45" customHeight="1" x14ac:dyDescent="0.25">
      <c r="B13" s="233" t="s">
        <v>3</v>
      </c>
      <c r="C13" s="46"/>
      <c r="D13" s="46">
        <f>D12/C12-1</f>
        <v>-0.64169566919218735</v>
      </c>
      <c r="E13" s="46">
        <f>E12/D12-1</f>
        <v>2.1799366563352129</v>
      </c>
      <c r="F13" s="46">
        <f>F12/E12-1</f>
        <v>1.0567434341927959</v>
      </c>
      <c r="G13" s="46">
        <f>G12/F12-1</f>
        <v>1.2516588018300716</v>
      </c>
      <c r="H13" s="59"/>
      <c r="I13" s="60"/>
      <c r="J13" s="60"/>
      <c r="K13" s="229"/>
      <c r="L13" s="46">
        <f>L12/G12-1</f>
        <v>3.6026451983898795</v>
      </c>
      <c r="M13" s="59">
        <f>M12/H12-1</f>
        <v>0.25979843225083976</v>
      </c>
      <c r="N13" s="60">
        <f>N12/I12-1</f>
        <v>-0.45492156524737115</v>
      </c>
      <c r="O13" s="68">
        <v>0.8</v>
      </c>
      <c r="P13" s="68">
        <v>0.9</v>
      </c>
      <c r="Q13" s="46">
        <f>Q12/L12-1</f>
        <v>0.30828960519740112</v>
      </c>
      <c r="R13" s="54">
        <v>0.3</v>
      </c>
      <c r="S13" s="54">
        <v>0.35</v>
      </c>
      <c r="T13" s="54">
        <v>0.28999999999999998</v>
      </c>
      <c r="U13" s="54">
        <v>0.26</v>
      </c>
      <c r="V13"/>
      <c r="Y13"/>
      <c r="Z13"/>
      <c r="AA13"/>
      <c r="AB13"/>
      <c r="AC13"/>
      <c r="AD13"/>
      <c r="AE13"/>
      <c r="AF13"/>
      <c r="AG13"/>
      <c r="AH13"/>
    </row>
    <row r="14" spans="2:34" s="4" customFormat="1" ht="14.45" customHeight="1" x14ac:dyDescent="0.25">
      <c r="B14" s="233" t="s">
        <v>139</v>
      </c>
      <c r="C14" s="46">
        <f t="shared" ref="C14:H14" si="12">C12/C$16</f>
        <v>0.18653414855367254</v>
      </c>
      <c r="D14" s="46">
        <f t="shared" si="12"/>
        <v>3.5207744356104902E-2</v>
      </c>
      <c r="E14" s="46">
        <f t="shared" si="12"/>
        <v>4.958491945319337E-2</v>
      </c>
      <c r="F14" s="46">
        <f t="shared" si="12"/>
        <v>0.12583720648129162</v>
      </c>
      <c r="G14" s="46">
        <f t="shared" si="12"/>
        <v>0.13570564594794959</v>
      </c>
      <c r="H14" s="59">
        <f t="shared" si="12"/>
        <v>0.32402031930333819</v>
      </c>
      <c r="I14" s="60">
        <f t="shared" ref="I14:K14" si="13">I12/I$16</f>
        <v>0.40589140778057653</v>
      </c>
      <c r="J14" s="60">
        <f t="shared" si="13"/>
        <v>0.38141729720934014</v>
      </c>
      <c r="K14" s="60">
        <f t="shared" si="13"/>
        <v>0.42357880403948711</v>
      </c>
      <c r="L14" s="46">
        <f>L12/L$16</f>
        <v>0.39131710178938106</v>
      </c>
      <c r="M14" s="59">
        <f>M12/M$16</f>
        <v>0.29691211401425177</v>
      </c>
      <c r="N14" s="60">
        <f>N12/N$16</f>
        <v>0.23156352984254852</v>
      </c>
      <c r="O14" s="60">
        <f t="shared" ref="O14:P14" si="14">O12/O$16</f>
        <v>0.29844665138782783</v>
      </c>
      <c r="P14" s="60">
        <f t="shared" si="14"/>
        <v>0.31598244715211726</v>
      </c>
      <c r="Q14" s="46">
        <f>Q12/Q$16</f>
        <v>0.29106274989958847</v>
      </c>
      <c r="R14" s="46">
        <f>R12/R$16</f>
        <v>0.27237958591585598</v>
      </c>
      <c r="S14" s="46">
        <f>S12/S$16</f>
        <v>0.27347519491658884</v>
      </c>
      <c r="T14" s="46">
        <f>T12/T$16</f>
        <v>0.271943615210893</v>
      </c>
      <c r="U14" s="46">
        <f>U12/U$16</f>
        <v>0.27194361521089294</v>
      </c>
      <c r="V14"/>
      <c r="Y14"/>
      <c r="Z14"/>
      <c r="AA14"/>
      <c r="AB14"/>
      <c r="AC14"/>
      <c r="AD14"/>
      <c r="AE14"/>
      <c r="AF14"/>
      <c r="AG14"/>
      <c r="AH14"/>
    </row>
    <row r="15" spans="2:34" s="4" customFormat="1" ht="6" customHeight="1" x14ac:dyDescent="0.25">
      <c r="B15" s="228"/>
      <c r="C15" s="150"/>
      <c r="D15" s="150"/>
      <c r="E15" s="150"/>
      <c r="F15" s="150"/>
      <c r="G15" s="150"/>
      <c r="H15" s="155"/>
      <c r="I15" s="229"/>
      <c r="J15" s="229"/>
      <c r="K15" s="229"/>
      <c r="L15" s="150"/>
      <c r="M15" s="155"/>
      <c r="N15" s="229"/>
      <c r="O15" s="229"/>
      <c r="P15" s="229"/>
      <c r="Q15" s="150"/>
      <c r="R15" s="150"/>
      <c r="S15" s="150"/>
      <c r="T15" s="150"/>
      <c r="U15" s="150"/>
      <c r="V15"/>
      <c r="Y15"/>
      <c r="Z15"/>
      <c r="AA15"/>
      <c r="AB15"/>
      <c r="AC15"/>
      <c r="AD15"/>
      <c r="AE15"/>
      <c r="AF15"/>
      <c r="AG15"/>
      <c r="AH15"/>
    </row>
    <row r="16" spans="2:34" x14ac:dyDescent="0.25">
      <c r="B16" s="234" t="s">
        <v>0</v>
      </c>
      <c r="C16" s="98">
        <f>C6+C9+C12</f>
        <v>3533.605</v>
      </c>
      <c r="D16" s="98">
        <f>D6+D9+D12</f>
        <v>6707.9559999999992</v>
      </c>
      <c r="E16" s="98">
        <f t="shared" ref="E16:N16" si="15">E6+E9+E12</f>
        <v>15145.976000000001</v>
      </c>
      <c r="F16" s="98">
        <f t="shared" si="15"/>
        <v>12274.898999999999</v>
      </c>
      <c r="G16" s="98">
        <f t="shared" si="15"/>
        <v>25629</v>
      </c>
      <c r="H16" s="130">
        <f t="shared" si="15"/>
        <v>5512</v>
      </c>
      <c r="I16" s="235">
        <f t="shared" si="15"/>
        <v>14292</v>
      </c>
      <c r="J16" s="235">
        <f t="shared" si="15"/>
        <v>12291</v>
      </c>
      <c r="K16" s="235">
        <f>L16-H16-I16-J16</f>
        <v>8813</v>
      </c>
      <c r="L16" s="98">
        <f t="shared" si="15"/>
        <v>40908</v>
      </c>
      <c r="M16" s="130">
        <f t="shared" si="15"/>
        <v>7578</v>
      </c>
      <c r="N16" s="235">
        <f t="shared" si="15"/>
        <v>13655</v>
      </c>
      <c r="O16" s="235">
        <f t="shared" ref="O16:P16" si="16">O6+O9+O12</f>
        <v>28274.400000000001</v>
      </c>
      <c r="P16" s="235">
        <f t="shared" si="16"/>
        <v>22446.5</v>
      </c>
      <c r="Q16" s="98">
        <f>SUM(M16:P16)</f>
        <v>71953.899999999994</v>
      </c>
      <c r="R16" s="98">
        <f t="shared" ref="R16:U16" si="17">R6+R9+R12</f>
        <v>99956.205999999991</v>
      </c>
      <c r="S16" s="98">
        <f t="shared" si="17"/>
        <v>134400.27170000001</v>
      </c>
      <c r="T16" s="98">
        <f t="shared" si="17"/>
        <v>174352.801805</v>
      </c>
      <c r="U16" s="98">
        <f t="shared" si="17"/>
        <v>219684.53027430002</v>
      </c>
      <c r="W16" s="193">
        <f>(U16/L16)^(1/5)-1</f>
        <v>0.3995816691272196</v>
      </c>
      <c r="X16" s="192" t="s">
        <v>161</v>
      </c>
    </row>
    <row r="17" spans="2:21" x14ac:dyDescent="0.25">
      <c r="B17" s="236" t="s">
        <v>3</v>
      </c>
      <c r="C17" s="46"/>
      <c r="D17" s="46">
        <f t="shared" ref="D17:G17" si="18">D16/C16-1</f>
        <v>0.89833215653702081</v>
      </c>
      <c r="E17" s="46">
        <f t="shared" si="18"/>
        <v>1.2579122462938042</v>
      </c>
      <c r="F17" s="46">
        <f t="shared" si="18"/>
        <v>-0.18956038224278193</v>
      </c>
      <c r="G17" s="46">
        <f t="shared" si="18"/>
        <v>1.0879194199479767</v>
      </c>
      <c r="H17" s="59"/>
      <c r="I17" s="60"/>
      <c r="J17" s="60"/>
      <c r="K17" s="60"/>
      <c r="L17" s="46">
        <f t="shared" ref="L17:Q17" si="19">L16/G16-1</f>
        <v>0.59616059932108167</v>
      </c>
      <c r="M17" s="59">
        <f t="shared" si="19"/>
        <v>0.37481857764876625</v>
      </c>
      <c r="N17" s="60">
        <f t="shared" si="19"/>
        <v>-4.4570389028827262E-2</v>
      </c>
      <c r="O17" s="60">
        <f t="shared" si="19"/>
        <v>1.3004149377593364</v>
      </c>
      <c r="P17" s="60">
        <f t="shared" si="19"/>
        <v>1.5469760580959946</v>
      </c>
      <c r="Q17" s="46">
        <f t="shared" si="19"/>
        <v>0.75892001564486145</v>
      </c>
      <c r="R17" s="46">
        <f t="shared" ref="R17" si="20">R16/Q16-1</f>
        <v>0.38917009362939314</v>
      </c>
      <c r="S17" s="168">
        <f t="shared" ref="S17" si="21">S16/R16-1</f>
        <v>0.34459156743104091</v>
      </c>
      <c r="T17" s="46">
        <f t="shared" ref="T17" si="22">T16/S16-1</f>
        <v>0.29726524805083399</v>
      </c>
      <c r="U17" s="46">
        <f t="shared" ref="U17" si="23">U16/T16-1</f>
        <v>0.26000000000000023</v>
      </c>
    </row>
    <row r="18" spans="2:21" ht="4.5" customHeight="1" x14ac:dyDescent="0.25">
      <c r="B18" s="16"/>
      <c r="C18" s="47"/>
      <c r="D18" s="47"/>
      <c r="E18" s="47"/>
      <c r="F18" s="47"/>
      <c r="G18" s="47"/>
      <c r="L18" s="47"/>
      <c r="Q18" s="47"/>
      <c r="R18" s="47"/>
      <c r="S18" s="47"/>
      <c r="T18" s="47"/>
      <c r="U18" s="47"/>
    </row>
    <row r="19" spans="2:21" ht="5.25" customHeight="1" x14ac:dyDescent="0.25">
      <c r="B19" s="237"/>
      <c r="C19" s="47"/>
      <c r="D19" s="47"/>
      <c r="E19" s="47"/>
      <c r="F19" s="47"/>
      <c r="G19" s="47"/>
      <c r="L19" s="47"/>
      <c r="Q19" s="47"/>
      <c r="R19" s="47"/>
      <c r="S19" s="47"/>
      <c r="T19" s="47"/>
      <c r="U19" s="47"/>
    </row>
    <row r="20" spans="2:21" ht="14.45" customHeight="1" x14ac:dyDescent="0.25">
      <c r="B20" s="16" t="s">
        <v>1</v>
      </c>
      <c r="C20" s="94">
        <v>-1936.463</v>
      </c>
      <c r="D20" s="94">
        <v>-3902.538</v>
      </c>
      <c r="E20" s="94">
        <v>-8441.5059999999994</v>
      </c>
      <c r="F20" s="94">
        <v>-6452.0479999999998</v>
      </c>
      <c r="G20" s="94">
        <v>-14310</v>
      </c>
      <c r="H20" s="156">
        <v>-3696</v>
      </c>
      <c r="I20" s="238">
        <v>-7893</v>
      </c>
      <c r="J20" s="238">
        <v>-7862</v>
      </c>
      <c r="K20" s="239">
        <f>L20-H20-I20-J20</f>
        <v>-4420</v>
      </c>
      <c r="L20" s="94">
        <v>-23871</v>
      </c>
      <c r="M20" s="156">
        <v>-3075</v>
      </c>
      <c r="N20" s="238">
        <v>-5911</v>
      </c>
      <c r="O20" s="5">
        <f>-(O16-O23)</f>
        <v>-15833.664000000001</v>
      </c>
      <c r="P20" s="5">
        <f>-(P16-P23)</f>
        <v>-12570.039999999999</v>
      </c>
      <c r="Q20" s="166">
        <f>SUM(M20:P20)</f>
        <v>-37389.703999999998</v>
      </c>
      <c r="R20" s="48">
        <f t="shared" ref="R20" si="24">-(R16-R23)</f>
        <v>-53976.351239999996</v>
      </c>
      <c r="S20" s="48">
        <f t="shared" ref="S20:U20" si="25">-(S16-S23)</f>
        <v>-72576.146718000004</v>
      </c>
      <c r="T20" s="48">
        <f t="shared" si="25"/>
        <v>-94150.512974699988</v>
      </c>
      <c r="U20" s="48">
        <f t="shared" si="25"/>
        <v>-118629.64634812201</v>
      </c>
    </row>
    <row r="21" spans="2:21" ht="14.45" customHeight="1" x14ac:dyDescent="0.25">
      <c r="B21" s="16"/>
      <c r="C21" s="46">
        <f t="shared" ref="C21:I21" si="26">-C20/C$16</f>
        <v>0.54801343104280187</v>
      </c>
      <c r="D21" s="46">
        <f t="shared" si="26"/>
        <v>0.58177751911312481</v>
      </c>
      <c r="E21" s="46">
        <f t="shared" si="26"/>
        <v>0.55734315173878524</v>
      </c>
      <c r="F21" s="46">
        <f t="shared" si="26"/>
        <v>0.52562941658420159</v>
      </c>
      <c r="G21" s="46">
        <f t="shared" si="26"/>
        <v>0.558351867025635</v>
      </c>
      <c r="H21" s="59">
        <f t="shared" si="26"/>
        <v>0.67053701015965161</v>
      </c>
      <c r="I21" s="60">
        <f t="shared" si="26"/>
        <v>0.55226700251889171</v>
      </c>
      <c r="J21" s="60">
        <f t="shared" ref="J21:K21" si="27">-J20/J$16</f>
        <v>0.63965503213733621</v>
      </c>
      <c r="K21" s="60">
        <f t="shared" si="27"/>
        <v>0.50153182798139118</v>
      </c>
      <c r="L21" s="46">
        <f t="shared" ref="L21:R21" si="28">-L20/L$16</f>
        <v>0.58352889410384279</v>
      </c>
      <c r="M21" s="59">
        <f t="shared" si="28"/>
        <v>0.40577988915281077</v>
      </c>
      <c r="N21" s="60">
        <f t="shared" si="28"/>
        <v>0.43288172830465033</v>
      </c>
      <c r="O21" s="60">
        <f t="shared" si="28"/>
        <v>0.55999999999999994</v>
      </c>
      <c r="P21" s="60">
        <f t="shared" si="28"/>
        <v>0.55999999999999994</v>
      </c>
      <c r="Q21" s="46">
        <f t="shared" si="28"/>
        <v>0.51963415464623874</v>
      </c>
      <c r="R21" s="46">
        <f t="shared" si="28"/>
        <v>0.54</v>
      </c>
      <c r="S21" s="46">
        <f t="shared" ref="S21" si="29">-S20/S$16</f>
        <v>0.53999999999999992</v>
      </c>
      <c r="T21" s="46">
        <f t="shared" ref="T21" si="30">-T20/T$16</f>
        <v>0.53999999999999992</v>
      </c>
      <c r="U21" s="46">
        <f t="shared" ref="U21" si="31">-U20/U$16</f>
        <v>0.54</v>
      </c>
    </row>
    <row r="22" spans="2:21" ht="5.25" customHeight="1" x14ac:dyDescent="0.25">
      <c r="B22" s="16"/>
      <c r="C22" s="48"/>
      <c r="D22" s="48"/>
      <c r="E22" s="48"/>
      <c r="F22" s="48"/>
      <c r="G22" s="48"/>
      <c r="H22" s="58"/>
      <c r="I22" s="5"/>
      <c r="J22" s="5"/>
      <c r="K22" s="5"/>
      <c r="L22" s="48"/>
      <c r="M22" s="58"/>
      <c r="N22" s="5"/>
      <c r="O22" s="5"/>
      <c r="P22" s="5"/>
      <c r="Q22" s="48"/>
      <c r="R22" s="48"/>
      <c r="S22" s="48"/>
      <c r="T22" s="48"/>
      <c r="U22" s="48"/>
    </row>
    <row r="23" spans="2:21" x14ac:dyDescent="0.25">
      <c r="B23" s="234" t="s">
        <v>2</v>
      </c>
      <c r="C23" s="98">
        <f t="shared" ref="C23" si="32">C16+C20</f>
        <v>1597.1420000000001</v>
      </c>
      <c r="D23" s="98">
        <f t="shared" ref="D23:J23" si="33">D16+D20</f>
        <v>2805.4179999999992</v>
      </c>
      <c r="E23" s="98">
        <f t="shared" si="33"/>
        <v>6704.4700000000012</v>
      </c>
      <c r="F23" s="98">
        <f t="shared" si="33"/>
        <v>5822.8509999999997</v>
      </c>
      <c r="G23" s="98">
        <f t="shared" si="33"/>
        <v>11319</v>
      </c>
      <c r="H23" s="130">
        <f t="shared" si="33"/>
        <v>1816</v>
      </c>
      <c r="I23" s="235">
        <f t="shared" si="33"/>
        <v>6399</v>
      </c>
      <c r="J23" s="235">
        <f t="shared" si="33"/>
        <v>4429</v>
      </c>
      <c r="K23" s="235">
        <f>L23-H23-I23-J23</f>
        <v>4393</v>
      </c>
      <c r="L23" s="98">
        <f>L16+L20</f>
        <v>17037</v>
      </c>
      <c r="M23" s="130">
        <f t="shared" ref="M23:N23" si="34">M16+M20</f>
        <v>4503</v>
      </c>
      <c r="N23" s="235">
        <f t="shared" si="34"/>
        <v>7744</v>
      </c>
      <c r="O23" s="235">
        <f>O24*O16</f>
        <v>12440.736000000001</v>
      </c>
      <c r="P23" s="235">
        <f>P24*P16</f>
        <v>9876.4600000000009</v>
      </c>
      <c r="Q23" s="98">
        <f>SUM(M23:P23)</f>
        <v>34564.196000000004</v>
      </c>
      <c r="R23" s="98">
        <f t="shared" ref="R23" si="35">R24*R16</f>
        <v>45979.854759999995</v>
      </c>
      <c r="S23" s="98">
        <f t="shared" ref="S23" si="36">S24*S16</f>
        <v>61824.124982000008</v>
      </c>
      <c r="T23" s="98">
        <f t="shared" ref="T23" si="37">T24*T16</f>
        <v>80202.288830300007</v>
      </c>
      <c r="U23" s="98">
        <f t="shared" ref="U23" si="38">U24*U16</f>
        <v>101054.88392617801</v>
      </c>
    </row>
    <row r="24" spans="2:21" x14ac:dyDescent="0.25">
      <c r="B24" s="236" t="s">
        <v>4</v>
      </c>
      <c r="C24" s="46">
        <f t="shared" ref="C24:N24" si="39">C23/C16</f>
        <v>0.45198656895719813</v>
      </c>
      <c r="D24" s="46">
        <f t="shared" si="39"/>
        <v>0.41822248088687514</v>
      </c>
      <c r="E24" s="46">
        <f t="shared" si="39"/>
        <v>0.44265684826121476</v>
      </c>
      <c r="F24" s="46">
        <f t="shared" si="39"/>
        <v>0.47437058341579835</v>
      </c>
      <c r="G24" s="46">
        <f t="shared" si="39"/>
        <v>0.441648132974365</v>
      </c>
      <c r="H24" s="59">
        <f t="shared" si="39"/>
        <v>0.32946298984034833</v>
      </c>
      <c r="I24" s="60">
        <f t="shared" si="39"/>
        <v>0.44773299748110829</v>
      </c>
      <c r="J24" s="60">
        <f t="shared" si="39"/>
        <v>0.36034496786266373</v>
      </c>
      <c r="K24" s="60">
        <f t="shared" si="39"/>
        <v>0.49846817201860888</v>
      </c>
      <c r="L24" s="46">
        <f t="shared" si="39"/>
        <v>0.41647110589615721</v>
      </c>
      <c r="M24" s="59">
        <f t="shared" si="39"/>
        <v>0.59422011084718929</v>
      </c>
      <c r="N24" s="60">
        <f t="shared" si="39"/>
        <v>0.56711827169534967</v>
      </c>
      <c r="O24" s="68">
        <v>0.44</v>
      </c>
      <c r="P24" s="68">
        <v>0.44</v>
      </c>
      <c r="Q24" s="46">
        <f>Q23/Q16</f>
        <v>0.48036584535376131</v>
      </c>
      <c r="R24" s="54">
        <v>0.46</v>
      </c>
      <c r="S24" s="54">
        <v>0.46</v>
      </c>
      <c r="T24" s="54">
        <v>0.46</v>
      </c>
      <c r="U24" s="54">
        <v>0.46</v>
      </c>
    </row>
    <row r="25" spans="2:21" ht="3" customHeight="1" x14ac:dyDescent="0.25">
      <c r="B25" s="16"/>
      <c r="C25" s="47"/>
      <c r="D25" s="47"/>
      <c r="E25" s="47"/>
      <c r="F25" s="47"/>
      <c r="G25" s="47"/>
      <c r="L25" s="47"/>
      <c r="Q25" s="47"/>
      <c r="R25" s="47"/>
      <c r="S25" s="47"/>
      <c r="T25" s="47"/>
      <c r="U25" s="47"/>
    </row>
    <row r="26" spans="2:21" outlineLevel="1" x14ac:dyDescent="0.25">
      <c r="B26" s="197" t="s">
        <v>15</v>
      </c>
      <c r="C26" s="47"/>
      <c r="D26" s="47"/>
      <c r="E26" s="47"/>
      <c r="F26" s="47"/>
      <c r="G26" s="47"/>
      <c r="L26" s="47"/>
      <c r="Q26" s="47"/>
      <c r="R26" s="47"/>
      <c r="S26" s="47"/>
      <c r="T26" s="47"/>
      <c r="U26" s="47"/>
    </row>
    <row r="27" spans="2:21" outlineLevel="1" x14ac:dyDescent="0.25">
      <c r="B27" s="16" t="s">
        <v>124</v>
      </c>
      <c r="C27" s="94">
        <v>-2722.4859999999999</v>
      </c>
      <c r="D27" s="94">
        <v>-4396.8379999999997</v>
      </c>
      <c r="E27" s="94">
        <v>-5281.7290000000003</v>
      </c>
      <c r="F27" s="94">
        <v>-7963.527</v>
      </c>
      <c r="G27" s="94">
        <v>-8271</v>
      </c>
      <c r="H27" s="238">
        <v>-2542</v>
      </c>
      <c r="I27" s="238">
        <v>-2903</v>
      </c>
      <c r="J27" s="238">
        <v>-3032</v>
      </c>
      <c r="K27" s="240">
        <f>L27-H27-I27-J27</f>
        <v>-3887</v>
      </c>
      <c r="L27" s="94">
        <v>-12364</v>
      </c>
      <c r="M27" s="238">
        <v>-3360</v>
      </c>
      <c r="N27" s="238">
        <v>-4123</v>
      </c>
      <c r="O27" s="5">
        <f>-O28*O$16</f>
        <v>-5937.6239999999998</v>
      </c>
      <c r="P27" s="5">
        <f>-P28*P$16</f>
        <v>-4713.7649999999994</v>
      </c>
      <c r="Q27" s="166">
        <f>SUM(M27:P27)</f>
        <v>-18134.388999999999</v>
      </c>
      <c r="R27" s="48">
        <f>-R28*R$16</f>
        <v>-17992.117079999996</v>
      </c>
      <c r="S27" s="48">
        <f t="shared" ref="S27:U27" si="40">-S28*S$16</f>
        <v>-21772.844015400002</v>
      </c>
      <c r="T27" s="48">
        <f t="shared" si="40"/>
        <v>-27024.684279775</v>
      </c>
      <c r="U27" s="48">
        <f t="shared" si="40"/>
        <v>-32952.679541145</v>
      </c>
    </row>
    <row r="28" spans="2:21" outlineLevel="1" x14ac:dyDescent="0.25">
      <c r="B28" s="236" t="s">
        <v>11</v>
      </c>
      <c r="C28" s="46">
        <f t="shared" ref="C28:M28" si="41">-C27/C16</f>
        <v>0.77045566779535346</v>
      </c>
      <c r="D28" s="46">
        <f t="shared" si="41"/>
        <v>0.65546613603309267</v>
      </c>
      <c r="E28" s="46">
        <f t="shared" si="41"/>
        <v>0.34872160103779382</v>
      </c>
      <c r="F28" s="46">
        <f t="shared" si="41"/>
        <v>0.64876517517577947</v>
      </c>
      <c r="G28" s="46">
        <f t="shared" si="41"/>
        <v>0.32272035584689218</v>
      </c>
      <c r="H28" s="59">
        <f t="shared" si="41"/>
        <v>0.46117561683599417</v>
      </c>
      <c r="I28" s="60">
        <f t="shared" si="41"/>
        <v>0.20312062692415336</v>
      </c>
      <c r="J28" s="60">
        <f t="shared" si="41"/>
        <v>0.24668456594255961</v>
      </c>
      <c r="K28" s="60">
        <f t="shared" si="41"/>
        <v>0.44105298990128222</v>
      </c>
      <c r="L28" s="46">
        <f t="shared" si="41"/>
        <v>0.30223917082233304</v>
      </c>
      <c r="M28" s="59">
        <f t="shared" si="41"/>
        <v>0.44338875692794932</v>
      </c>
      <c r="N28" s="60">
        <f>-N27/N16</f>
        <v>0.30194068106920541</v>
      </c>
      <c r="O28" s="68">
        <v>0.21</v>
      </c>
      <c r="P28" s="68">
        <v>0.21</v>
      </c>
      <c r="Q28" s="46">
        <f>-Q27/Q16</f>
        <v>0.25202788174094803</v>
      </c>
      <c r="R28" s="54">
        <v>0.18</v>
      </c>
      <c r="S28" s="54">
        <v>0.16200000000000001</v>
      </c>
      <c r="T28" s="54">
        <v>0.155</v>
      </c>
      <c r="U28" s="54">
        <v>0.15</v>
      </c>
    </row>
    <row r="29" spans="2:21" outlineLevel="1" x14ac:dyDescent="0.25">
      <c r="B29" s="16" t="s">
        <v>97</v>
      </c>
      <c r="C29" s="94">
        <v>-1955.886</v>
      </c>
      <c r="D29" s="94">
        <v>-2369.4549999999999</v>
      </c>
      <c r="E29" s="94">
        <v>-1886.8610000000001</v>
      </c>
      <c r="F29" s="94">
        <v>-1203.28</v>
      </c>
      <c r="G29" s="94">
        <v>-2310</v>
      </c>
      <c r="H29" s="238">
        <v>-480</v>
      </c>
      <c r="I29" s="238">
        <v>-512</v>
      </c>
      <c r="J29" s="238">
        <v>-94</v>
      </c>
      <c r="K29" s="240">
        <f>L29-H29-I29-J29</f>
        <v>-176</v>
      </c>
      <c r="L29" s="94">
        <v>-1262</v>
      </c>
      <c r="M29" s="238">
        <v>-774</v>
      </c>
      <c r="N29" s="238">
        <v>-1093</v>
      </c>
      <c r="O29" s="5">
        <f>-O30*O$16</f>
        <v>-1413.7200000000003</v>
      </c>
      <c r="P29" s="5">
        <f>-P30*P$16</f>
        <v>-1167.2179999999998</v>
      </c>
      <c r="Q29" s="166">
        <f>SUM(M29:P29)</f>
        <v>-4447.9380000000001</v>
      </c>
      <c r="R29" s="48">
        <f>-R30*R$16</f>
        <v>-7996.4964799999998</v>
      </c>
      <c r="S29" s="48">
        <f t="shared" ref="S29:U29" si="42">-S30*S$16</f>
        <v>-9676.8195624</v>
      </c>
      <c r="T29" s="48">
        <f t="shared" si="42"/>
        <v>-10809.873711909999</v>
      </c>
      <c r="U29" s="48">
        <f t="shared" si="42"/>
        <v>-13181.071816458001</v>
      </c>
    </row>
    <row r="30" spans="2:21" outlineLevel="1" x14ac:dyDescent="0.25">
      <c r="B30" s="236" t="s">
        <v>11</v>
      </c>
      <c r="C30" s="46">
        <f t="shared" ref="C30" si="43">-C29/C$16</f>
        <v>0.55351008389449297</v>
      </c>
      <c r="D30" s="46">
        <f t="shared" ref="D30:N36" si="44">-D29/D$16</f>
        <v>0.35323055189986341</v>
      </c>
      <c r="E30" s="46">
        <f t="shared" si="44"/>
        <v>0.12457836985876646</v>
      </c>
      <c r="F30" s="46">
        <f t="shared" si="44"/>
        <v>9.8027690492606095E-2</v>
      </c>
      <c r="G30" s="46">
        <f t="shared" si="44"/>
        <v>9.0132272035584687E-2</v>
      </c>
      <c r="H30" s="59">
        <f t="shared" si="44"/>
        <v>8.7082728592162553E-2</v>
      </c>
      <c r="I30" s="60">
        <f t="shared" ref="I30:J30" si="45">-I29/I$16</f>
        <v>3.582423733557235E-2</v>
      </c>
      <c r="J30" s="60">
        <f t="shared" si="45"/>
        <v>7.6478724269790901E-3</v>
      </c>
      <c r="K30" s="60">
        <f t="shared" ref="K30" si="46">-K29/K$16</f>
        <v>1.9970498127765801E-2</v>
      </c>
      <c r="L30" s="46">
        <f t="shared" si="44"/>
        <v>3.08497115478635E-2</v>
      </c>
      <c r="M30" s="59">
        <f t="shared" si="44"/>
        <v>0.10213776722090261</v>
      </c>
      <c r="N30" s="60">
        <f t="shared" si="44"/>
        <v>8.0043939948736723E-2</v>
      </c>
      <c r="O30" s="68">
        <v>0.05</v>
      </c>
      <c r="P30" s="68">
        <v>5.1999999999999998E-2</v>
      </c>
      <c r="Q30" s="46">
        <f t="shared" ref="Q30:Q36" si="47">-Q29/Q$16</f>
        <v>6.1816496395608864E-2</v>
      </c>
      <c r="R30" s="54">
        <v>0.08</v>
      </c>
      <c r="S30" s="54">
        <v>7.1999999999999995E-2</v>
      </c>
      <c r="T30" s="54">
        <v>6.2E-2</v>
      </c>
      <c r="U30" s="54">
        <v>0.06</v>
      </c>
    </row>
    <row r="31" spans="2:21" outlineLevel="1" x14ac:dyDescent="0.25">
      <c r="B31" s="16" t="s">
        <v>22</v>
      </c>
      <c r="C31" s="100">
        <v>0</v>
      </c>
      <c r="D31" s="100">
        <v>0</v>
      </c>
      <c r="E31" s="100">
        <v>-1680.3920000000001</v>
      </c>
      <c r="F31" s="100">
        <v>-1104.133</v>
      </c>
      <c r="G31" s="94">
        <v>-2914</v>
      </c>
      <c r="H31" s="124">
        <v>-1141</v>
      </c>
      <c r="I31" s="241">
        <v>-1146</v>
      </c>
      <c r="J31" s="238">
        <v>-1146</v>
      </c>
      <c r="K31" s="240">
        <f>L31-H31-I31-J31</f>
        <v>-1348</v>
      </c>
      <c r="L31" s="94">
        <v>-4781</v>
      </c>
      <c r="M31" s="124">
        <v>-1263</v>
      </c>
      <c r="N31" s="126">
        <v>-1232</v>
      </c>
      <c r="O31" s="5">
        <f>-O32*O$16</f>
        <v>-1979.2080000000003</v>
      </c>
      <c r="P31" s="5">
        <f>-P32*P$16</f>
        <v>-1616.1479999999999</v>
      </c>
      <c r="Q31" s="166">
        <f>SUM(M31:P31)</f>
        <v>-6090.3560000000007</v>
      </c>
      <c r="R31" s="48">
        <f>-R32*R$16</f>
        <v>-6797.0220079999999</v>
      </c>
      <c r="S31" s="48">
        <f t="shared" ref="S31:U31" si="48">-S32*S$16</f>
        <v>-8198.4165737000003</v>
      </c>
      <c r="T31" s="48">
        <f t="shared" si="48"/>
        <v>-8717.6400902500009</v>
      </c>
      <c r="U31" s="48">
        <f t="shared" si="48"/>
        <v>-9885.8038623435004</v>
      </c>
    </row>
    <row r="32" spans="2:21" outlineLevel="1" x14ac:dyDescent="0.25">
      <c r="B32" s="236" t="s">
        <v>11</v>
      </c>
      <c r="C32" s="46">
        <f t="shared" ref="C32" si="49">-C31/C$16</f>
        <v>0</v>
      </c>
      <c r="D32" s="46">
        <f t="shared" si="44"/>
        <v>0</v>
      </c>
      <c r="E32" s="46">
        <f t="shared" si="44"/>
        <v>0.1109464322404842</v>
      </c>
      <c r="F32" s="46">
        <f t="shared" si="44"/>
        <v>8.9950475356253445E-2</v>
      </c>
      <c r="G32" s="46">
        <f t="shared" si="44"/>
        <v>0.11369932498341723</v>
      </c>
      <c r="H32" s="59">
        <f t="shared" si="44"/>
        <v>0.20700290275761973</v>
      </c>
      <c r="I32" s="60">
        <f t="shared" ref="I32:J32" si="50">-I31/I$16</f>
        <v>8.0184718723761539E-2</v>
      </c>
      <c r="J32" s="60">
        <f t="shared" si="50"/>
        <v>9.3238955333170614E-2</v>
      </c>
      <c r="K32" s="60">
        <f t="shared" ref="K32:N34" si="51">-K31/K$16</f>
        <v>0.15295586066038808</v>
      </c>
      <c r="L32" s="46">
        <f t="shared" si="44"/>
        <v>0.11687200547570158</v>
      </c>
      <c r="M32" s="59">
        <f t="shared" si="44"/>
        <v>0.16666666666666666</v>
      </c>
      <c r="N32" s="60">
        <f t="shared" si="44"/>
        <v>9.0223361406078353E-2</v>
      </c>
      <c r="O32" s="68">
        <v>7.0000000000000007E-2</v>
      </c>
      <c r="P32" s="68">
        <v>7.1999999999999995E-2</v>
      </c>
      <c r="Q32" s="46">
        <f t="shared" si="47"/>
        <v>8.4642472471957761E-2</v>
      </c>
      <c r="R32" s="54">
        <v>6.8000000000000005E-2</v>
      </c>
      <c r="S32" s="54">
        <v>6.0999999999999999E-2</v>
      </c>
      <c r="T32" s="54">
        <v>0.05</v>
      </c>
      <c r="U32" s="54">
        <v>4.4999999999999998E-2</v>
      </c>
    </row>
    <row r="33" spans="2:21" outlineLevel="1" x14ac:dyDescent="0.25">
      <c r="B33" s="16" t="s">
        <v>94</v>
      </c>
      <c r="C33" s="100">
        <v>-275.60000000000002</v>
      </c>
      <c r="D33" s="100">
        <v>-342.6</v>
      </c>
      <c r="E33" s="100">
        <v>-1370.7449999999999</v>
      </c>
      <c r="F33" s="100">
        <v>-975.29899999999998</v>
      </c>
      <c r="G33" s="94">
        <v>-433</v>
      </c>
      <c r="H33" s="124">
        <v>-41</v>
      </c>
      <c r="I33" s="241">
        <v>-441</v>
      </c>
      <c r="J33" s="238">
        <v>-137</v>
      </c>
      <c r="K33" s="240">
        <f>L33-H33-I33-J33</f>
        <v>-178</v>
      </c>
      <c r="L33" s="94">
        <v>-797</v>
      </c>
      <c r="M33" s="124">
        <v>-161</v>
      </c>
      <c r="N33" s="126">
        <v>-98</v>
      </c>
      <c r="O33" s="5">
        <f>-O34*O$16</f>
        <v>-282.74400000000003</v>
      </c>
      <c r="P33" s="5">
        <f>-P34*P$16</f>
        <v>-224.465</v>
      </c>
      <c r="Q33" s="166">
        <f>SUM(M33:P33)</f>
        <v>-766.20900000000006</v>
      </c>
      <c r="R33" s="48">
        <f>-R34*R$16</f>
        <v>-1499.3430899999998</v>
      </c>
      <c r="S33" s="48">
        <f t="shared" ref="S33:U33" si="52">-S34*S$16</f>
        <v>-1747.2035321000001</v>
      </c>
      <c r="T33" s="48">
        <f t="shared" si="52"/>
        <v>-1917.8808198549998</v>
      </c>
      <c r="U33" s="48">
        <f t="shared" si="52"/>
        <v>-2196.845302743</v>
      </c>
    </row>
    <row r="34" spans="2:21" outlineLevel="1" x14ac:dyDescent="0.25">
      <c r="B34" s="236" t="s">
        <v>11</v>
      </c>
      <c r="C34" s="46">
        <f t="shared" ref="C34" si="53">-C33/C$16</f>
        <v>7.7994003291256386E-2</v>
      </c>
      <c r="D34" s="46">
        <f t="shared" ref="D34:J34" si="54">-D33/D$16</f>
        <v>5.1073680268624314E-2</v>
      </c>
      <c r="E34" s="46">
        <f t="shared" si="54"/>
        <v>9.0502256176822143E-2</v>
      </c>
      <c r="F34" s="46">
        <f t="shared" si="54"/>
        <v>7.9454747448431146E-2</v>
      </c>
      <c r="G34" s="46">
        <f t="shared" si="44"/>
        <v>1.6894923719224315E-2</v>
      </c>
      <c r="H34" s="59">
        <f t="shared" si="54"/>
        <v>7.4383164005805517E-3</v>
      </c>
      <c r="I34" s="60">
        <f t="shared" si="54"/>
        <v>3.0856423173803528E-2</v>
      </c>
      <c r="J34" s="60">
        <f t="shared" si="54"/>
        <v>1.1146367260597185E-2</v>
      </c>
      <c r="K34" s="60">
        <f t="shared" si="51"/>
        <v>2.0197435606490413E-2</v>
      </c>
      <c r="L34" s="46">
        <f t="shared" si="51"/>
        <v>1.9482741762002542E-2</v>
      </c>
      <c r="M34" s="59">
        <f t="shared" si="51"/>
        <v>2.124571126946424E-2</v>
      </c>
      <c r="N34" s="60">
        <f t="shared" si="51"/>
        <v>7.1768582936653242E-3</v>
      </c>
      <c r="O34" s="68">
        <v>0.01</v>
      </c>
      <c r="P34" s="68">
        <v>0.01</v>
      </c>
      <c r="Q34" s="46">
        <f t="shared" si="47"/>
        <v>1.0648609734844118E-2</v>
      </c>
      <c r="R34" s="54">
        <v>1.4999999999999999E-2</v>
      </c>
      <c r="S34" s="54">
        <v>1.2999999999999999E-2</v>
      </c>
      <c r="T34" s="54">
        <v>1.0999999999999999E-2</v>
      </c>
      <c r="U34" s="54">
        <v>0.01</v>
      </c>
    </row>
    <row r="35" spans="2:21" outlineLevel="1" x14ac:dyDescent="0.25">
      <c r="B35" s="16" t="s">
        <v>125</v>
      </c>
      <c r="C35" s="94">
        <v>350.25700000000001</v>
      </c>
      <c r="D35" s="94">
        <v>320.80700000000002</v>
      </c>
      <c r="E35" s="94">
        <v>338.21899999999999</v>
      </c>
      <c r="F35" s="94">
        <v>650.13800000000003</v>
      </c>
      <c r="G35" s="94">
        <v>594</v>
      </c>
      <c r="H35" s="238">
        <v>634</v>
      </c>
      <c r="I35" s="126">
        <v>0</v>
      </c>
      <c r="J35" s="126">
        <v>0</v>
      </c>
      <c r="K35" s="133">
        <f>L35-H35-I35-J35</f>
        <v>0</v>
      </c>
      <c r="L35" s="94">
        <v>634</v>
      </c>
      <c r="M35" s="238">
        <v>499</v>
      </c>
      <c r="N35" s="238">
        <v>297</v>
      </c>
      <c r="O35" s="133">
        <f>-O36*O$16</f>
        <v>0</v>
      </c>
      <c r="P35" s="133">
        <f>-P36*P$16</f>
        <v>0</v>
      </c>
      <c r="Q35" s="166">
        <f>SUM(M35:P35)</f>
        <v>796</v>
      </c>
      <c r="R35" s="134">
        <f>-R36*R$16</f>
        <v>0</v>
      </c>
      <c r="S35" s="134">
        <f t="shared" ref="S35:U35" si="55">-S36*S$16</f>
        <v>0</v>
      </c>
      <c r="T35" s="134">
        <f t="shared" si="55"/>
        <v>0</v>
      </c>
      <c r="U35" s="134">
        <f t="shared" si="55"/>
        <v>0</v>
      </c>
    </row>
    <row r="36" spans="2:21" outlineLevel="1" x14ac:dyDescent="0.25">
      <c r="B36" s="236" t="s">
        <v>11</v>
      </c>
      <c r="C36" s="46">
        <f t="shared" ref="C36" si="56">-C35/C$16</f>
        <v>-9.9121718471645817E-2</v>
      </c>
      <c r="D36" s="46">
        <f t="shared" si="44"/>
        <v>-4.7824851564321542E-2</v>
      </c>
      <c r="E36" s="46">
        <f t="shared" si="44"/>
        <v>-2.2330617716547284E-2</v>
      </c>
      <c r="F36" s="46">
        <f t="shared" si="44"/>
        <v>-5.2964834985607626E-2</v>
      </c>
      <c r="G36" s="46">
        <f t="shared" si="44"/>
        <v>-2.3176869952007493E-2</v>
      </c>
      <c r="H36" s="59">
        <f t="shared" si="44"/>
        <v>-0.11502177068214804</v>
      </c>
      <c r="I36" s="60">
        <f t="shared" ref="I36:J36" si="57">-I35/I$16</f>
        <v>0</v>
      </c>
      <c r="J36" s="60">
        <f t="shared" si="57"/>
        <v>0</v>
      </c>
      <c r="K36" s="60">
        <f t="shared" ref="K36" si="58">-K35/K$16</f>
        <v>0</v>
      </c>
      <c r="L36" s="46">
        <f t="shared" si="44"/>
        <v>-1.5498191062872788E-2</v>
      </c>
      <c r="M36" s="59">
        <f t="shared" si="44"/>
        <v>-6.5848508841382949E-2</v>
      </c>
      <c r="N36" s="60">
        <f t="shared" si="44"/>
        <v>-2.1750274624679603E-2</v>
      </c>
      <c r="O36" s="68">
        <v>0</v>
      </c>
      <c r="P36" s="68">
        <v>0</v>
      </c>
      <c r="Q36" s="46">
        <f t="shared" si="47"/>
        <v>-1.1062638717289821E-2</v>
      </c>
      <c r="R36" s="54">
        <v>0</v>
      </c>
      <c r="S36" s="54">
        <v>0</v>
      </c>
      <c r="T36" s="54">
        <v>0</v>
      </c>
      <c r="U36" s="54">
        <v>0</v>
      </c>
    </row>
    <row r="37" spans="2:21" x14ac:dyDescent="0.25">
      <c r="B37" s="236"/>
      <c r="C37" s="49"/>
      <c r="D37" s="49"/>
      <c r="E37" s="49"/>
      <c r="F37" s="49"/>
      <c r="G37" s="49"/>
      <c r="H37" s="67"/>
      <c r="I37" s="67"/>
      <c r="J37" s="67"/>
      <c r="K37" s="67"/>
      <c r="L37" s="49"/>
      <c r="M37" s="67"/>
      <c r="N37" s="67"/>
      <c r="O37" s="67"/>
      <c r="P37" s="67"/>
      <c r="Q37" s="56"/>
      <c r="R37" s="56"/>
      <c r="S37" s="56"/>
      <c r="T37" s="56"/>
      <c r="U37" s="56"/>
    </row>
    <row r="38" spans="2:21" x14ac:dyDescent="0.25">
      <c r="B38" s="234" t="s">
        <v>5</v>
      </c>
      <c r="C38" s="98">
        <f t="shared" ref="C38:D38" si="59">C23+C27+C29+C31+C35+C33</f>
        <v>-3006.5729999999994</v>
      </c>
      <c r="D38" s="98">
        <f t="shared" si="59"/>
        <v>-3982.6680000000001</v>
      </c>
      <c r="E38" s="98">
        <f t="shared" ref="E38:F38" si="60">E23+E27+E29+E31+E35+E33</f>
        <v>-3177.0379999999991</v>
      </c>
      <c r="F38" s="98">
        <f t="shared" si="60"/>
        <v>-4773.25</v>
      </c>
      <c r="G38" s="98">
        <f>G23+G27+G29+G31+G35+G33</f>
        <v>-2015</v>
      </c>
      <c r="H38" s="130">
        <f t="shared" ref="H38:U38" si="61">H23+H27+H29+H31+H35+H33</f>
        <v>-1754</v>
      </c>
      <c r="I38" s="235">
        <f t="shared" si="61"/>
        <v>1397</v>
      </c>
      <c r="J38" s="235">
        <f t="shared" si="61"/>
        <v>20</v>
      </c>
      <c r="K38" s="235">
        <f t="shared" si="61"/>
        <v>-1196</v>
      </c>
      <c r="L38" s="98">
        <f t="shared" si="61"/>
        <v>-1533</v>
      </c>
      <c r="M38" s="130">
        <f t="shared" si="61"/>
        <v>-556</v>
      </c>
      <c r="N38" s="235">
        <f>N23+N27+N29+N31+N35+N33</f>
        <v>1495</v>
      </c>
      <c r="O38" s="235">
        <f t="shared" ref="O38" si="62">O23+O27+O29+O31+O35+O33</f>
        <v>2827.44</v>
      </c>
      <c r="P38" s="235">
        <f t="shared" ref="P38" si="63">P23+P27+P29+P31+P35+P33</f>
        <v>2154.8640000000014</v>
      </c>
      <c r="Q38" s="98">
        <f>SUM(M38:P38)</f>
        <v>5921.3040000000019</v>
      </c>
      <c r="R38" s="98">
        <f t="shared" si="61"/>
        <v>11694.876101999997</v>
      </c>
      <c r="S38" s="98">
        <f t="shared" si="61"/>
        <v>20428.84129840001</v>
      </c>
      <c r="T38" s="98">
        <f t="shared" si="61"/>
        <v>31732.209928510008</v>
      </c>
      <c r="U38" s="98">
        <f t="shared" si="61"/>
        <v>42838.483403488506</v>
      </c>
    </row>
    <row r="39" spans="2:21" x14ac:dyDescent="0.25">
      <c r="B39" s="236" t="s">
        <v>6</v>
      </c>
      <c r="C39" s="46">
        <f t="shared" ref="C39:U39" si="64">C38/C16</f>
        <v>-0.85085146755225882</v>
      </c>
      <c r="D39" s="46">
        <f t="shared" si="64"/>
        <v>-0.59372303575038365</v>
      </c>
      <c r="E39" s="46">
        <f t="shared" si="64"/>
        <v>-0.20976119333610452</v>
      </c>
      <c r="F39" s="46">
        <f t="shared" si="64"/>
        <v>-0.38886267007166414</v>
      </c>
      <c r="G39" s="46">
        <f t="shared" si="64"/>
        <v>-7.8621873658745955E-2</v>
      </c>
      <c r="H39" s="59">
        <f t="shared" si="64"/>
        <v>-0.31821480406386066</v>
      </c>
      <c r="I39" s="60">
        <f t="shared" si="64"/>
        <v>9.774699132381752E-2</v>
      </c>
      <c r="J39" s="60">
        <f t="shared" si="64"/>
        <v>1.6272068993572533E-3</v>
      </c>
      <c r="K39" s="60">
        <f t="shared" si="64"/>
        <v>-0.13570861227731759</v>
      </c>
      <c r="L39" s="46">
        <f t="shared" si="64"/>
        <v>-3.7474332648870637E-2</v>
      </c>
      <c r="M39" s="59">
        <f t="shared" si="64"/>
        <v>-7.3370282396410663E-2</v>
      </c>
      <c r="N39" s="60">
        <f t="shared" si="64"/>
        <v>0.10948370560234347</v>
      </c>
      <c r="O39" s="60">
        <f t="shared" si="64"/>
        <v>9.9999999999999992E-2</v>
      </c>
      <c r="P39" s="60">
        <f t="shared" si="64"/>
        <v>9.6000000000000058E-2</v>
      </c>
      <c r="Q39" s="46">
        <f t="shared" si="64"/>
        <v>8.2293023727692344E-2</v>
      </c>
      <c r="R39" s="46">
        <f t="shared" si="64"/>
        <v>0.11699999999999998</v>
      </c>
      <c r="S39" s="46">
        <f t="shared" si="64"/>
        <v>0.15200000000000005</v>
      </c>
      <c r="T39" s="46">
        <f t="shared" si="64"/>
        <v>0.18200000000000005</v>
      </c>
      <c r="U39" s="46">
        <f t="shared" si="64"/>
        <v>0.19500000000000001</v>
      </c>
    </row>
    <row r="40" spans="2:21" ht="6" hidden="1" customHeight="1" outlineLevel="1" x14ac:dyDescent="0.25">
      <c r="B40" s="236"/>
      <c r="C40" s="46"/>
      <c r="D40" s="46"/>
      <c r="E40" s="46"/>
      <c r="F40" s="46"/>
      <c r="G40" s="46"/>
      <c r="H40" s="60"/>
      <c r="I40" s="60"/>
      <c r="J40" s="60"/>
      <c r="K40" s="60"/>
      <c r="L40" s="46"/>
      <c r="M40" s="59"/>
      <c r="N40" s="60"/>
      <c r="O40" s="60"/>
      <c r="P40" s="60"/>
      <c r="Q40" s="46"/>
      <c r="R40" s="46"/>
      <c r="S40" s="46"/>
      <c r="T40" s="46"/>
      <c r="U40" s="46"/>
    </row>
    <row r="41" spans="2:21" hidden="1" outlineLevel="1" x14ac:dyDescent="0.25">
      <c r="B41" s="16" t="s">
        <v>22</v>
      </c>
      <c r="C41" s="50" t="e">
        <f>-#REF!</f>
        <v>#REF!</v>
      </c>
      <c r="D41" s="50" t="e">
        <f>-#REF!</f>
        <v>#REF!</v>
      </c>
      <c r="E41" s="50" t="e">
        <f>-#REF!</f>
        <v>#REF!</v>
      </c>
      <c r="F41" s="50" t="e">
        <f>-#REF!</f>
        <v>#REF!</v>
      </c>
      <c r="G41" s="50" t="e">
        <f>-#REF!</f>
        <v>#REF!</v>
      </c>
      <c r="H41" s="61" t="e">
        <f>-#REF!</f>
        <v>#REF!</v>
      </c>
      <c r="I41" s="240" t="e">
        <f>-#REF!</f>
        <v>#REF!</v>
      </c>
      <c r="J41" s="240" t="e">
        <f>-#REF!</f>
        <v>#REF!</v>
      </c>
      <c r="K41" s="240" t="e">
        <f>-#REF!</f>
        <v>#REF!</v>
      </c>
      <c r="L41" s="50" t="e">
        <f>-#REF!</f>
        <v>#REF!</v>
      </c>
      <c r="M41" s="61" t="e">
        <f>-#REF!</f>
        <v>#REF!</v>
      </c>
      <c r="N41" s="240" t="e">
        <f>-#REF!</f>
        <v>#REF!</v>
      </c>
      <c r="O41" s="240" t="e">
        <f>-#REF!</f>
        <v>#REF!</v>
      </c>
      <c r="P41" s="240" t="e">
        <f>-#REF!</f>
        <v>#REF!</v>
      </c>
      <c r="Q41" s="50" t="e">
        <f>-#REF!</f>
        <v>#REF!</v>
      </c>
      <c r="R41" s="50" t="e">
        <f>-#REF!</f>
        <v>#REF!</v>
      </c>
      <c r="S41" s="50" t="e">
        <f>-#REF!</f>
        <v>#REF!</v>
      </c>
      <c r="T41" s="50" t="e">
        <f>-#REF!</f>
        <v>#REF!</v>
      </c>
      <c r="U41" s="50" t="e">
        <f>-#REF!</f>
        <v>#REF!</v>
      </c>
    </row>
    <row r="42" spans="2:21" hidden="1" outlineLevel="1" x14ac:dyDescent="0.25">
      <c r="B42" s="236" t="s">
        <v>11</v>
      </c>
      <c r="C42" s="46" t="e">
        <f t="shared" ref="C42:U42" si="65">C41/C16</f>
        <v>#REF!</v>
      </c>
      <c r="D42" s="46" t="e">
        <f t="shared" si="65"/>
        <v>#REF!</v>
      </c>
      <c r="E42" s="46" t="e">
        <f t="shared" si="65"/>
        <v>#REF!</v>
      </c>
      <c r="F42" s="46" t="e">
        <f t="shared" si="65"/>
        <v>#REF!</v>
      </c>
      <c r="G42" s="46" t="e">
        <f t="shared" si="65"/>
        <v>#REF!</v>
      </c>
      <c r="H42" s="59" t="e">
        <f t="shared" si="65"/>
        <v>#REF!</v>
      </c>
      <c r="I42" s="60" t="e">
        <f t="shared" si="65"/>
        <v>#REF!</v>
      </c>
      <c r="J42" s="60" t="e">
        <f t="shared" si="65"/>
        <v>#REF!</v>
      </c>
      <c r="K42" s="60" t="e">
        <f t="shared" si="65"/>
        <v>#REF!</v>
      </c>
      <c r="L42" s="46" t="e">
        <f t="shared" si="65"/>
        <v>#REF!</v>
      </c>
      <c r="M42" s="59" t="e">
        <f t="shared" si="65"/>
        <v>#REF!</v>
      </c>
      <c r="N42" s="60" t="e">
        <f t="shared" si="65"/>
        <v>#REF!</v>
      </c>
      <c r="O42" s="60" t="e">
        <f t="shared" si="65"/>
        <v>#REF!</v>
      </c>
      <c r="P42" s="60" t="e">
        <f t="shared" si="65"/>
        <v>#REF!</v>
      </c>
      <c r="Q42" s="46" t="e">
        <f t="shared" si="65"/>
        <v>#REF!</v>
      </c>
      <c r="R42" s="46" t="e">
        <f t="shared" si="65"/>
        <v>#REF!</v>
      </c>
      <c r="S42" s="46" t="e">
        <f t="shared" si="65"/>
        <v>#REF!</v>
      </c>
      <c r="T42" s="46" t="e">
        <f t="shared" si="65"/>
        <v>#REF!</v>
      </c>
      <c r="U42" s="46" t="e">
        <f t="shared" si="65"/>
        <v>#REF!</v>
      </c>
    </row>
    <row r="43" spans="2:21" ht="6.75" hidden="1" customHeight="1" outlineLevel="1" x14ac:dyDescent="0.25">
      <c r="B43" s="236"/>
      <c r="C43" s="46"/>
      <c r="D43" s="46"/>
      <c r="E43" s="46"/>
      <c r="F43" s="46"/>
      <c r="G43" s="46"/>
      <c r="H43" s="59"/>
      <c r="I43" s="60"/>
      <c r="J43" s="60"/>
      <c r="K43" s="60"/>
      <c r="L43" s="46"/>
      <c r="M43" s="59"/>
      <c r="N43" s="60"/>
      <c r="O43" s="60"/>
      <c r="P43" s="60"/>
      <c r="Q43" s="46"/>
      <c r="R43" s="46"/>
      <c r="S43" s="46"/>
      <c r="T43" s="46"/>
      <c r="U43" s="46"/>
    </row>
    <row r="44" spans="2:21" hidden="1" outlineLevel="1" x14ac:dyDescent="0.25">
      <c r="B44" s="234" t="s">
        <v>23</v>
      </c>
      <c r="C44" s="98" t="e">
        <f t="shared" ref="C44" si="66">C38+C41</f>
        <v>#REF!</v>
      </c>
      <c r="D44" s="98" t="e">
        <f t="shared" ref="D44:U44" si="67">D38+D41</f>
        <v>#REF!</v>
      </c>
      <c r="E44" s="98" t="e">
        <f t="shared" si="67"/>
        <v>#REF!</v>
      </c>
      <c r="F44" s="98" t="e">
        <f t="shared" si="67"/>
        <v>#REF!</v>
      </c>
      <c r="G44" s="98" t="e">
        <f t="shared" si="67"/>
        <v>#REF!</v>
      </c>
      <c r="H44" s="130" t="e">
        <f t="shared" si="67"/>
        <v>#REF!</v>
      </c>
      <c r="I44" s="235" t="e">
        <f t="shared" si="67"/>
        <v>#REF!</v>
      </c>
      <c r="J44" s="235" t="e">
        <f t="shared" ref="J44:K44" si="68">J38+J41</f>
        <v>#REF!</v>
      </c>
      <c r="K44" s="235" t="e">
        <f t="shared" si="68"/>
        <v>#REF!</v>
      </c>
      <c r="L44" s="98" t="e">
        <f t="shared" si="67"/>
        <v>#REF!</v>
      </c>
      <c r="M44" s="130" t="e">
        <f t="shared" ref="M44:N44" si="69">M38+M41</f>
        <v>#REF!</v>
      </c>
      <c r="N44" s="235" t="e">
        <f t="shared" si="69"/>
        <v>#REF!</v>
      </c>
      <c r="O44" s="235" t="e">
        <f t="shared" ref="O44" si="70">O38+O41</f>
        <v>#REF!</v>
      </c>
      <c r="P44" s="235" t="e">
        <f t="shared" ref="P44" si="71">P38+P41</f>
        <v>#REF!</v>
      </c>
      <c r="Q44" s="98" t="e">
        <f t="shared" si="67"/>
        <v>#REF!</v>
      </c>
      <c r="R44" s="98" t="e">
        <f t="shared" si="67"/>
        <v>#REF!</v>
      </c>
      <c r="S44" s="98" t="e">
        <f t="shared" si="67"/>
        <v>#REF!</v>
      </c>
      <c r="T44" s="98" t="e">
        <f t="shared" si="67"/>
        <v>#REF!</v>
      </c>
      <c r="U44" s="98" t="e">
        <f t="shared" si="67"/>
        <v>#REF!</v>
      </c>
    </row>
    <row r="45" spans="2:21" hidden="1" outlineLevel="1" x14ac:dyDescent="0.25">
      <c r="B45" s="197"/>
      <c r="C45" s="46" t="e">
        <f t="shared" ref="C45:U45" si="72">C44/C16</f>
        <v>#REF!</v>
      </c>
      <c r="D45" s="46" t="e">
        <f t="shared" si="72"/>
        <v>#REF!</v>
      </c>
      <c r="E45" s="46" t="e">
        <f t="shared" si="72"/>
        <v>#REF!</v>
      </c>
      <c r="F45" s="46" t="e">
        <f t="shared" si="72"/>
        <v>#REF!</v>
      </c>
      <c r="G45" s="46" t="e">
        <f t="shared" si="72"/>
        <v>#REF!</v>
      </c>
      <c r="H45" s="59" t="e">
        <f t="shared" si="72"/>
        <v>#REF!</v>
      </c>
      <c r="I45" s="60" t="e">
        <f t="shared" si="72"/>
        <v>#REF!</v>
      </c>
      <c r="J45" s="60" t="e">
        <f t="shared" si="72"/>
        <v>#REF!</v>
      </c>
      <c r="K45" s="60" t="e">
        <f t="shared" si="72"/>
        <v>#REF!</v>
      </c>
      <c r="L45" s="46" t="e">
        <f t="shared" si="72"/>
        <v>#REF!</v>
      </c>
      <c r="M45" s="59" t="e">
        <f t="shared" si="72"/>
        <v>#REF!</v>
      </c>
      <c r="N45" s="60" t="e">
        <f t="shared" si="72"/>
        <v>#REF!</v>
      </c>
      <c r="O45" s="60" t="e">
        <f t="shared" si="72"/>
        <v>#REF!</v>
      </c>
      <c r="P45" s="60" t="e">
        <f t="shared" si="72"/>
        <v>#REF!</v>
      </c>
      <c r="Q45" s="46" t="e">
        <f t="shared" si="72"/>
        <v>#REF!</v>
      </c>
      <c r="R45" s="46" t="e">
        <f t="shared" si="72"/>
        <v>#REF!</v>
      </c>
      <c r="S45" s="46" t="e">
        <f t="shared" si="72"/>
        <v>#REF!</v>
      </c>
      <c r="T45" s="46" t="e">
        <f t="shared" si="72"/>
        <v>#REF!</v>
      </c>
      <c r="U45" s="46" t="e">
        <f t="shared" si="72"/>
        <v>#REF!</v>
      </c>
    </row>
    <row r="46" spans="2:21" ht="6" customHeight="1" collapsed="1" x14ac:dyDescent="0.25">
      <c r="B46" s="16"/>
      <c r="C46" s="47"/>
      <c r="D46" s="47"/>
      <c r="E46" s="47"/>
      <c r="F46" s="47"/>
      <c r="G46" s="47"/>
      <c r="L46" s="47"/>
      <c r="Q46" s="47"/>
      <c r="R46" s="47"/>
      <c r="S46" s="47"/>
      <c r="T46" s="47"/>
      <c r="U46" s="47"/>
    </row>
    <row r="47" spans="2:21" x14ac:dyDescent="0.25">
      <c r="B47" s="16" t="s">
        <v>16</v>
      </c>
      <c r="C47" s="95">
        <v>-31.625</v>
      </c>
      <c r="D47" s="95">
        <v>-39.991999999999997</v>
      </c>
      <c r="E47" s="95">
        <v>-214.76300000000001</v>
      </c>
      <c r="F47" s="95">
        <v>-374.46300000000002</v>
      </c>
      <c r="G47" s="95">
        <v>-1657</v>
      </c>
      <c r="H47" s="241">
        <v>-884</v>
      </c>
      <c r="I47" s="241">
        <v>-714</v>
      </c>
      <c r="J47" s="241">
        <v>-847</v>
      </c>
      <c r="K47" s="240">
        <f>L47-H47-I47-J47</f>
        <v>-816</v>
      </c>
      <c r="L47" s="95">
        <v>-3261</v>
      </c>
      <c r="M47" s="241">
        <v>-553</v>
      </c>
      <c r="N47" s="241">
        <v>-418</v>
      </c>
      <c r="O47" s="133">
        <f>-O48*(BS!O35+BS!O24+BS!O27)</f>
        <v>-646.07500000000005</v>
      </c>
      <c r="P47" s="133">
        <f>-P48*(BS!P35+BS!P24+BS!P27)</f>
        <v>-646.07500000000005</v>
      </c>
      <c r="Q47" s="166">
        <f>SUM(M47:P47)</f>
        <v>-2263.15</v>
      </c>
      <c r="R47" s="134">
        <f>-R48*(BS!R35+BS!R24+BS!R27)</f>
        <v>-2584.3000000000002</v>
      </c>
      <c r="S47" s="134">
        <f>-S48*(BS!S35+BS!S24+BS!S27)</f>
        <v>-2067.44</v>
      </c>
      <c r="T47" s="134">
        <f>-T48*(BS!T35+BS!T24+BS!T27)</f>
        <v>-2067.44</v>
      </c>
      <c r="U47" s="134">
        <f>-U48*(BS!U35+BS!U24+BS!U27)</f>
        <v>-2067.44</v>
      </c>
    </row>
    <row r="48" spans="2:21" x14ac:dyDescent="0.25">
      <c r="B48" s="16"/>
      <c r="C48" s="51" t="e">
        <f>-C47/(BS!B35+BS!B24+BS!B27)</f>
        <v>#DIV/0!</v>
      </c>
      <c r="D48" s="63">
        <f>-D47/(BS!D35+BS!D24+BS!D27)</f>
        <v>1.2093241821594443E-2</v>
      </c>
      <c r="E48" s="63">
        <f>-E47/(BS!E35+BS!E24+BS!E27)</f>
        <v>7.5684813594037503E-2</v>
      </c>
      <c r="F48" s="63">
        <f>-F47/(BS!F35+BS!F24+BS!F27)</f>
        <v>3.9708337040341185E-2</v>
      </c>
      <c r="G48" s="63">
        <f>-G47/(BS!G35+BS!G24+BS!G27)</f>
        <v>0.15957241910631742</v>
      </c>
      <c r="H48" s="63"/>
      <c r="I48" s="64"/>
      <c r="J48" s="64"/>
      <c r="K48" s="64"/>
      <c r="L48" s="51">
        <f>-L47/(BS!L35+BS!L24+BS!L27)</f>
        <v>0.18278123423574913</v>
      </c>
      <c r="M48" s="149">
        <f>-M47/(BS!M35+BS!M24+BS!M27)</f>
        <v>3.1055203010052226E-2</v>
      </c>
      <c r="N48" s="195">
        <f>-N47/(BS!N35+BS!N24+BS!N27)</f>
        <v>1.617459273304183E-2</v>
      </c>
      <c r="O48" s="68">
        <v>2.5000000000000001E-2</v>
      </c>
      <c r="P48" s="68">
        <v>2.5000000000000001E-2</v>
      </c>
      <c r="Q48" s="51">
        <f>-Q47/(BS!Q35+BS!Q24+BS!Q27)</f>
        <v>8.7573037186085209E-2</v>
      </c>
      <c r="R48" s="54">
        <v>0.1</v>
      </c>
      <c r="S48" s="54">
        <v>0.08</v>
      </c>
      <c r="T48" s="54">
        <v>0.08</v>
      </c>
      <c r="U48" s="54">
        <v>0.08</v>
      </c>
    </row>
    <row r="49" spans="2:21" x14ac:dyDescent="0.25">
      <c r="B49" s="16" t="s">
        <v>98</v>
      </c>
      <c r="C49" s="95">
        <v>-66.593000000000004</v>
      </c>
      <c r="D49" s="95">
        <v>-15.754</v>
      </c>
      <c r="E49" s="95">
        <v>-57.280999999999999</v>
      </c>
      <c r="F49" s="95">
        <v>-363.43</v>
      </c>
      <c r="G49" s="95">
        <v>29</v>
      </c>
      <c r="H49" s="241">
        <v>-56</v>
      </c>
      <c r="I49" s="241">
        <v>66</v>
      </c>
      <c r="J49" s="241">
        <v>100</v>
      </c>
      <c r="K49" s="240">
        <f>L49-H49-I49-J49</f>
        <v>-411</v>
      </c>
      <c r="L49" s="95">
        <v>-301</v>
      </c>
      <c r="M49" s="241">
        <v>-141</v>
      </c>
      <c r="N49" s="241">
        <v>-129</v>
      </c>
      <c r="O49" s="242">
        <v>0</v>
      </c>
      <c r="P49" s="242">
        <v>0</v>
      </c>
      <c r="Q49" s="166">
        <f>SUM(M49:P49)</f>
        <v>-270</v>
      </c>
      <c r="R49" s="132">
        <v>0</v>
      </c>
      <c r="S49" s="132">
        <v>0</v>
      </c>
      <c r="T49" s="132">
        <v>0</v>
      </c>
      <c r="U49" s="132">
        <v>0</v>
      </c>
    </row>
    <row r="50" spans="2:21" x14ac:dyDescent="0.25">
      <c r="B50" s="16" t="s">
        <v>17</v>
      </c>
      <c r="C50" s="95">
        <v>707.56200000000001</v>
      </c>
      <c r="D50" s="95">
        <f>-2.21+1076.53</f>
        <v>1074.32</v>
      </c>
      <c r="E50" s="95">
        <f>-174.996+576.425</f>
        <v>401.42899999999997</v>
      </c>
      <c r="F50" s="95">
        <v>-36.338000000000001</v>
      </c>
      <c r="G50" s="95">
        <v>0</v>
      </c>
      <c r="H50" s="126">
        <v>0</v>
      </c>
      <c r="I50" s="241">
        <v>-207</v>
      </c>
      <c r="J50" s="241"/>
      <c r="K50" s="240"/>
      <c r="L50" s="95">
        <v>-207</v>
      </c>
      <c r="M50" s="126">
        <v>0</v>
      </c>
      <c r="N50" s="126">
        <f>-2757+4044</f>
        <v>1287</v>
      </c>
      <c r="O50" s="242">
        <v>0</v>
      </c>
      <c r="P50" s="242">
        <v>0</v>
      </c>
      <c r="Q50" s="166">
        <f>SUM(M50:P50)</f>
        <v>1287</v>
      </c>
      <c r="R50" s="132">
        <v>0</v>
      </c>
      <c r="S50" s="132">
        <v>0</v>
      </c>
      <c r="T50" s="132">
        <v>0</v>
      </c>
      <c r="U50" s="132">
        <v>0</v>
      </c>
    </row>
    <row r="51" spans="2:21" x14ac:dyDescent="0.25">
      <c r="B51" s="197" t="s">
        <v>7</v>
      </c>
      <c r="C51" s="96">
        <f>C38+C47+C49+C50</f>
        <v>-2397.2289999999994</v>
      </c>
      <c r="D51" s="96">
        <f>D38+D47+D49+D50</f>
        <v>-2964.0940000000001</v>
      </c>
      <c r="E51" s="96">
        <f t="shared" ref="E51:U51" si="73">E38+E47+E49+E50</f>
        <v>-3047.6529999999989</v>
      </c>
      <c r="F51" s="96">
        <f t="shared" si="73"/>
        <v>-5547.4809999999998</v>
      </c>
      <c r="G51" s="96">
        <f t="shared" si="73"/>
        <v>-3643</v>
      </c>
      <c r="H51" s="131">
        <f t="shared" ref="H51:I51" si="74">H38+H47+H49+H50</f>
        <v>-2694</v>
      </c>
      <c r="I51" s="243">
        <f t="shared" si="74"/>
        <v>542</v>
      </c>
      <c r="J51" s="243">
        <f t="shared" ref="J51:K51" si="75">J38+J47+J49+J50</f>
        <v>-727</v>
      </c>
      <c r="K51" s="243">
        <f t="shared" si="75"/>
        <v>-2423</v>
      </c>
      <c r="L51" s="96">
        <f t="shared" si="73"/>
        <v>-5302</v>
      </c>
      <c r="M51" s="131">
        <f t="shared" si="73"/>
        <v>-1250</v>
      </c>
      <c r="N51" s="243">
        <f t="shared" si="73"/>
        <v>2235</v>
      </c>
      <c r="O51" s="243">
        <f t="shared" ref="O51:P51" si="76">O38+O47+O49+O50</f>
        <v>2181.3649999999998</v>
      </c>
      <c r="P51" s="243">
        <f t="shared" si="76"/>
        <v>1508.7890000000014</v>
      </c>
      <c r="Q51" s="96">
        <f>SUM(M51:P51)</f>
        <v>4675.1540000000014</v>
      </c>
      <c r="R51" s="96">
        <f t="shared" si="73"/>
        <v>9110.5761019999954</v>
      </c>
      <c r="S51" s="96">
        <f t="shared" si="73"/>
        <v>18361.401298400011</v>
      </c>
      <c r="T51" s="96">
        <f t="shared" si="73"/>
        <v>29664.76992851001</v>
      </c>
      <c r="U51" s="96">
        <f t="shared" si="73"/>
        <v>40771.043403488504</v>
      </c>
    </row>
    <row r="52" spans="2:21" x14ac:dyDescent="0.25">
      <c r="B52" s="16" t="s">
        <v>8</v>
      </c>
      <c r="C52" s="95">
        <v>0</v>
      </c>
      <c r="D52" s="95">
        <v>111.705</v>
      </c>
      <c r="E52" s="95">
        <v>44.167000000000002</v>
      </c>
      <c r="F52" s="95">
        <v>12.548</v>
      </c>
      <c r="G52" s="95">
        <v>106</v>
      </c>
      <c r="H52" s="241">
        <v>135</v>
      </c>
      <c r="I52" s="241">
        <v>-28</v>
      </c>
      <c r="J52" s="241">
        <v>-201</v>
      </c>
      <c r="K52" s="240">
        <f>L52-H52-I52-J52</f>
        <v>1153</v>
      </c>
      <c r="L52" s="95">
        <v>1059</v>
      </c>
      <c r="M52" s="241">
        <v>-86</v>
      </c>
      <c r="N52" s="241">
        <v>-238</v>
      </c>
      <c r="O52" s="239">
        <f t="shared" ref="O52:P52" si="77">-O53*O51</f>
        <v>-525.70896499999992</v>
      </c>
      <c r="P52" s="239">
        <f t="shared" si="77"/>
        <v>-363.6181490000003</v>
      </c>
      <c r="Q52" s="48">
        <f>SUM(M52:P52)</f>
        <v>-1213.3271140000002</v>
      </c>
      <c r="R52" s="136">
        <f t="shared" ref="R52:U52" si="78">-R53*R51</f>
        <v>-2414.3026670299987</v>
      </c>
      <c r="S52" s="136">
        <f t="shared" si="78"/>
        <v>-4865.7713440760035</v>
      </c>
      <c r="T52" s="136">
        <f t="shared" si="78"/>
        <v>-7861.1640310551529</v>
      </c>
      <c r="U52" s="136">
        <f t="shared" si="78"/>
        <v>-10804.326501924454</v>
      </c>
    </row>
    <row r="53" spans="2:21" x14ac:dyDescent="0.25">
      <c r="B53" s="236" t="s">
        <v>9</v>
      </c>
      <c r="C53" s="46">
        <f t="shared" ref="C53" si="79">-C52/C51</f>
        <v>0</v>
      </c>
      <c r="D53" s="46">
        <f t="shared" ref="D53:N53" si="80">-D52/D51</f>
        <v>3.7686051791879741E-2</v>
      </c>
      <c r="E53" s="46">
        <f t="shared" si="80"/>
        <v>1.4492135423553803E-2</v>
      </c>
      <c r="F53" s="46">
        <f t="shared" si="80"/>
        <v>2.2619275307116872E-3</v>
      </c>
      <c r="G53" s="46">
        <f t="shared" si="80"/>
        <v>2.9096898160856435E-2</v>
      </c>
      <c r="H53" s="59">
        <f t="shared" si="80"/>
        <v>5.0111358574610243E-2</v>
      </c>
      <c r="I53" s="60">
        <f t="shared" si="80"/>
        <v>5.1660516605166053E-2</v>
      </c>
      <c r="J53" s="60">
        <f t="shared" si="80"/>
        <v>-0.27647867950481431</v>
      </c>
      <c r="K53" s="60">
        <f t="shared" si="80"/>
        <v>0.47585637639290135</v>
      </c>
      <c r="L53" s="46">
        <f t="shared" si="80"/>
        <v>0.19973594869860431</v>
      </c>
      <c r="M53" s="59">
        <f t="shared" si="80"/>
        <v>-6.88E-2</v>
      </c>
      <c r="N53" s="60">
        <f t="shared" si="80"/>
        <v>0.10648769574944071</v>
      </c>
      <c r="O53" s="68">
        <v>0.24099999999999999</v>
      </c>
      <c r="P53" s="68">
        <v>0.24099999999999999</v>
      </c>
      <c r="Q53" s="46">
        <f t="shared" ref="Q53" si="81">-Q52/Q51</f>
        <v>0.25952666243721595</v>
      </c>
      <c r="R53" s="54">
        <v>0.26500000000000001</v>
      </c>
      <c r="S53" s="54">
        <v>0.26500000000000001</v>
      </c>
      <c r="T53" s="54">
        <v>0.26500000000000001</v>
      </c>
      <c r="U53" s="54">
        <v>0.26500000000000001</v>
      </c>
    </row>
    <row r="54" spans="2:21" ht="6" customHeight="1" x14ac:dyDescent="0.25">
      <c r="B54" s="16"/>
      <c r="C54" s="47"/>
      <c r="D54" s="47"/>
      <c r="E54" s="95"/>
      <c r="F54" s="47"/>
      <c r="G54" s="47"/>
      <c r="H54" s="16"/>
      <c r="L54" s="47"/>
      <c r="M54" s="16"/>
      <c r="Q54" s="47"/>
      <c r="R54" s="47"/>
      <c r="S54" s="47"/>
      <c r="T54" s="47"/>
      <c r="U54" s="47"/>
    </row>
    <row r="55" spans="2:21" x14ac:dyDescent="0.25">
      <c r="B55" s="234" t="s">
        <v>10</v>
      </c>
      <c r="C55" s="97">
        <f>C51+C52+C54</f>
        <v>-2397.2289999999994</v>
      </c>
      <c r="D55" s="97">
        <f>D51+D52+D54</f>
        <v>-2852.3890000000001</v>
      </c>
      <c r="E55" s="97">
        <f>E51+E52+E54</f>
        <v>-3003.485999999999</v>
      </c>
      <c r="F55" s="97">
        <f>F51+F52+F54</f>
        <v>-5534.933</v>
      </c>
      <c r="G55" s="97">
        <f>G51+G52+G54</f>
        <v>-3537</v>
      </c>
      <c r="H55" s="135">
        <f t="shared" ref="H55:U55" si="82">H51+H52</f>
        <v>-2559</v>
      </c>
      <c r="I55" s="244">
        <f t="shared" si="82"/>
        <v>514</v>
      </c>
      <c r="J55" s="244">
        <f t="shared" si="82"/>
        <v>-928</v>
      </c>
      <c r="K55" s="244">
        <f t="shared" ref="K55" si="83">K51+K52</f>
        <v>-1270</v>
      </c>
      <c r="L55" s="97">
        <f t="shared" si="82"/>
        <v>-4243</v>
      </c>
      <c r="M55" s="135">
        <f t="shared" ref="M55:P55" si="84">M51+M52</f>
        <v>-1336</v>
      </c>
      <c r="N55" s="244">
        <f t="shared" si="84"/>
        <v>1997</v>
      </c>
      <c r="O55" s="244">
        <f t="shared" si="84"/>
        <v>1655.656035</v>
      </c>
      <c r="P55" s="244">
        <f t="shared" si="84"/>
        <v>1145.170851000001</v>
      </c>
      <c r="Q55" s="98">
        <f>SUM(M55:P55)</f>
        <v>3461.8268860000007</v>
      </c>
      <c r="R55" s="97">
        <f t="shared" si="82"/>
        <v>6696.2734349699967</v>
      </c>
      <c r="S55" s="97">
        <f t="shared" si="82"/>
        <v>13495.629954324007</v>
      </c>
      <c r="T55" s="97">
        <f t="shared" si="82"/>
        <v>21803.605897454858</v>
      </c>
      <c r="U55" s="97">
        <f t="shared" si="82"/>
        <v>29966.71690156405</v>
      </c>
    </row>
    <row r="56" spans="2:21" x14ac:dyDescent="0.25">
      <c r="B56" s="236" t="s">
        <v>20</v>
      </c>
      <c r="C56" s="46">
        <f t="shared" ref="C56" si="85">C55/C$16</f>
        <v>-0.67840887705332076</v>
      </c>
      <c r="D56" s="46">
        <f t="shared" ref="D56:L56" si="86">D55/D$16</f>
        <v>-0.42522476295312617</v>
      </c>
      <c r="E56" s="46">
        <f t="shared" si="86"/>
        <v>-0.19830257224757247</v>
      </c>
      <c r="F56" s="46">
        <f t="shared" si="86"/>
        <v>-0.45091474887084615</v>
      </c>
      <c r="G56" s="46">
        <f t="shared" si="86"/>
        <v>-0.13800772562331734</v>
      </c>
      <c r="H56" s="59">
        <f t="shared" si="86"/>
        <v>-0.46425979680696661</v>
      </c>
      <c r="I56" s="60">
        <f t="shared" si="86"/>
        <v>3.5964175762664426E-2</v>
      </c>
      <c r="J56" s="60">
        <f t="shared" ref="J56:K56" si="87">J55/J$16</f>
        <v>-7.5502400130176547E-2</v>
      </c>
      <c r="K56" s="60">
        <f t="shared" si="87"/>
        <v>-0.14410529899012822</v>
      </c>
      <c r="L56" s="46">
        <f t="shared" si="86"/>
        <v>-0.10372054365894201</v>
      </c>
      <c r="M56" s="59">
        <f t="shared" ref="M56:P56" si="88">M55/M$16</f>
        <v>-0.17629981525468461</v>
      </c>
      <c r="N56" s="60">
        <f t="shared" si="88"/>
        <v>0.14624679604540461</v>
      </c>
      <c r="O56" s="60">
        <f t="shared" si="88"/>
        <v>5.8556716853408027E-2</v>
      </c>
      <c r="P56" s="60">
        <f t="shared" si="88"/>
        <v>5.1017791236941216E-2</v>
      </c>
      <c r="Q56" s="46">
        <f>Q55/Q$16</f>
        <v>4.8111733846254355E-2</v>
      </c>
      <c r="R56" s="46">
        <f>R55/R$16</f>
        <v>6.6992072858087448E-2</v>
      </c>
      <c r="S56" s="46">
        <f>S55/S$16</f>
        <v>0.10041371035653945</v>
      </c>
      <c r="T56" s="46">
        <f>T55/T$16</f>
        <v>0.12505451975380635</v>
      </c>
      <c r="U56" s="46">
        <f>U55/U$16</f>
        <v>0.13640795218556057</v>
      </c>
    </row>
    <row r="57" spans="2:21" x14ac:dyDescent="0.25">
      <c r="B57" s="236" t="s">
        <v>3</v>
      </c>
      <c r="C57" s="47"/>
      <c r="D57" s="46">
        <f>D55/C55-1</f>
        <v>0.18986921983673688</v>
      </c>
      <c r="E57" s="46">
        <f>E55/D55-1</f>
        <v>5.2972087607966012E-2</v>
      </c>
      <c r="F57" s="46">
        <f>F55/E55-1</f>
        <v>0.84283629089664536</v>
      </c>
      <c r="G57" s="46">
        <f>G55/F55-1</f>
        <v>-0.36096787440787448</v>
      </c>
      <c r="L57" s="46">
        <f>L55/G55-1</f>
        <v>0.19960418433700866</v>
      </c>
      <c r="M57" s="60">
        <f>M55/H55-1</f>
        <v>-0.4779210629152012</v>
      </c>
      <c r="N57" s="60">
        <f>N55/I55-1</f>
        <v>2.8852140077821011</v>
      </c>
      <c r="O57" s="60">
        <f t="shared" ref="O57:P57" si="89">O55/J55-1</f>
        <v>-2.7841121066810341</v>
      </c>
      <c r="P57" s="60">
        <f t="shared" si="89"/>
        <v>-1.9017093314960638</v>
      </c>
      <c r="Q57" s="46">
        <f>Q55/L55-1</f>
        <v>-1.8158913235917984</v>
      </c>
      <c r="R57" s="46">
        <f>R55/Q55-1</f>
        <v>0.93431781989170082</v>
      </c>
      <c r="S57" s="46">
        <f>S55/R55-1</f>
        <v>1.0153940972370816</v>
      </c>
      <c r="T57" s="46">
        <f>T55/S55-1</f>
        <v>0.61560490108644172</v>
      </c>
      <c r="U57" s="46">
        <f>U55/T55-1</f>
        <v>0.37439270561490368</v>
      </c>
    </row>
    <row r="58" spans="2:21" ht="9" customHeight="1" x14ac:dyDescent="0.25">
      <c r="B58" s="16"/>
      <c r="C58" s="47"/>
      <c r="D58" s="47"/>
      <c r="E58" s="47"/>
      <c r="F58" s="47"/>
      <c r="G58" s="47"/>
      <c r="L58" s="47"/>
      <c r="Q58" s="47"/>
      <c r="R58" s="47"/>
      <c r="S58" s="47"/>
      <c r="T58" s="47"/>
      <c r="U58" s="47"/>
    </row>
    <row r="59" spans="2:21" ht="14.45" customHeight="1" x14ac:dyDescent="0.25">
      <c r="B59" s="16" t="s">
        <v>100</v>
      </c>
      <c r="C59" s="95"/>
      <c r="D59" s="95"/>
      <c r="E59" s="95">
        <v>426.63499999999999</v>
      </c>
      <c r="F59" s="95"/>
      <c r="G59" s="95"/>
      <c r="H59" s="241"/>
      <c r="I59" s="241"/>
      <c r="J59" s="241"/>
      <c r="K59" s="5"/>
      <c r="L59" s="95"/>
      <c r="M59" s="129"/>
      <c r="N59" s="241"/>
      <c r="Q59" s="47"/>
      <c r="R59" s="47"/>
      <c r="S59" s="47"/>
      <c r="T59" s="47"/>
      <c r="U59" s="47"/>
    </row>
    <row r="60" spans="2:21" s="2" customFormat="1" ht="14.45" customHeight="1" x14ac:dyDescent="0.25">
      <c r="B60" s="197" t="s">
        <v>90</v>
      </c>
      <c r="C60" s="99">
        <f t="shared" ref="C60" si="90">C55+C59</f>
        <v>-2397.2289999999994</v>
      </c>
      <c r="D60" s="99">
        <f t="shared" ref="D60:J60" si="91">D55+D59</f>
        <v>-2852.3890000000001</v>
      </c>
      <c r="E60" s="99">
        <f>E55-E59</f>
        <v>-3430.1209999999992</v>
      </c>
      <c r="F60" s="99">
        <f t="shared" si="91"/>
        <v>-5534.933</v>
      </c>
      <c r="G60" s="99">
        <f t="shared" si="91"/>
        <v>-3537</v>
      </c>
      <c r="H60" s="82">
        <f t="shared" si="91"/>
        <v>-2559</v>
      </c>
      <c r="I60" s="6">
        <f t="shared" si="91"/>
        <v>514</v>
      </c>
      <c r="J60" s="6">
        <f t="shared" si="91"/>
        <v>-928</v>
      </c>
      <c r="K60" s="6">
        <f>L60-I60-H60-J60</f>
        <v>-1270</v>
      </c>
      <c r="L60" s="57">
        <f>L55+L59</f>
        <v>-4243</v>
      </c>
      <c r="M60" s="82">
        <f>M55+M59</f>
        <v>-1336</v>
      </c>
      <c r="N60" s="6">
        <f>N55+N59</f>
        <v>1997</v>
      </c>
      <c r="O60" s="6">
        <f t="shared" ref="O60:P60" si="92">O55+O59</f>
        <v>1655.656035</v>
      </c>
      <c r="P60" s="6">
        <f t="shared" si="92"/>
        <v>1145.170851000001</v>
      </c>
      <c r="Q60" s="57">
        <f>SUM(M60:P60)</f>
        <v>3461.8268860000007</v>
      </c>
      <c r="R60" s="57">
        <f>R55+R59</f>
        <v>6696.2734349699967</v>
      </c>
      <c r="S60" s="57">
        <f>S55+S59</f>
        <v>13495.629954324007</v>
      </c>
      <c r="T60" s="57">
        <f>T55+T59</f>
        <v>21803.605897454858</v>
      </c>
      <c r="U60" s="57">
        <f>U55+U59</f>
        <v>29966.71690156405</v>
      </c>
    </row>
    <row r="61" spans="2:21" ht="5.25" customHeight="1" x14ac:dyDescent="0.25">
      <c r="B61" s="16"/>
      <c r="C61" s="47"/>
      <c r="D61" s="47"/>
      <c r="E61" s="47"/>
      <c r="F61" s="47"/>
      <c r="G61" s="47"/>
      <c r="L61" s="55"/>
      <c r="Q61" s="47"/>
      <c r="R61" s="47"/>
      <c r="S61" s="47"/>
      <c r="T61" s="47"/>
      <c r="U61" s="47"/>
    </row>
    <row r="62" spans="2:21" x14ac:dyDescent="0.25">
      <c r="B62" s="197" t="s">
        <v>18</v>
      </c>
      <c r="C62" s="198">
        <v>87462.604999999996</v>
      </c>
      <c r="D62" s="198">
        <v>110696.27099999999</v>
      </c>
      <c r="E62" s="198">
        <v>147117.18599999999</v>
      </c>
      <c r="F62" s="198">
        <v>151869.61199999999</v>
      </c>
      <c r="G62" s="198">
        <v>182459.22399999999</v>
      </c>
      <c r="H62" s="245">
        <v>201192.98499999999</v>
      </c>
      <c r="I62" s="245">
        <v>201192.98499999999</v>
      </c>
      <c r="J62" s="245">
        <v>201192.98499999999</v>
      </c>
      <c r="K62" s="246">
        <f>L62</f>
        <v>201214.58499999999</v>
      </c>
      <c r="L62" s="198">
        <v>201214.58499999999</v>
      </c>
      <c r="M62" s="245">
        <v>205595.76300000001</v>
      </c>
      <c r="N62" s="245">
        <v>206067.12</v>
      </c>
      <c r="O62" s="246">
        <f t="shared" ref="O62:P62" si="93">N62</f>
        <v>206067.12</v>
      </c>
      <c r="P62" s="246">
        <f t="shared" si="93"/>
        <v>206067.12</v>
      </c>
      <c r="Q62" s="96">
        <f>P62</f>
        <v>206067.12</v>
      </c>
      <c r="R62" s="96">
        <f>Q62</f>
        <v>206067.12</v>
      </c>
      <c r="S62" s="96">
        <f t="shared" ref="S62:U62" si="94">R62</f>
        <v>206067.12</v>
      </c>
      <c r="T62" s="96">
        <f t="shared" si="94"/>
        <v>206067.12</v>
      </c>
      <c r="U62" s="96">
        <f t="shared" si="94"/>
        <v>206067.12</v>
      </c>
    </row>
    <row r="63" spans="2:21" ht="5.25" customHeight="1" x14ac:dyDescent="0.25">
      <c r="B63" s="197"/>
      <c r="C63" s="52"/>
      <c r="D63" s="52"/>
      <c r="E63" s="52"/>
      <c r="F63" s="52"/>
      <c r="G63" s="52"/>
      <c r="H63" s="247"/>
      <c r="I63" s="247"/>
      <c r="J63" s="247"/>
      <c r="K63" s="247"/>
      <c r="L63" s="52"/>
      <c r="M63" s="247"/>
      <c r="N63" s="247"/>
      <c r="O63" s="247"/>
      <c r="P63" s="247"/>
      <c r="Q63" s="57"/>
      <c r="R63" s="57"/>
      <c r="S63" s="57"/>
      <c r="T63" s="57"/>
      <c r="U63" s="57"/>
    </row>
    <row r="64" spans="2:21" x14ac:dyDescent="0.25">
      <c r="B64" s="197" t="s">
        <v>19</v>
      </c>
      <c r="C64" s="53">
        <f t="shared" ref="C64:K64" si="95">C60/C62</f>
        <v>-2.7408616516738777E-2</v>
      </c>
      <c r="D64" s="53">
        <f t="shared" si="95"/>
        <v>-2.5767706303313508E-2</v>
      </c>
      <c r="E64" s="53">
        <f t="shared" si="95"/>
        <v>-2.3315569671105586E-2</v>
      </c>
      <c r="F64" s="53">
        <f t="shared" si="95"/>
        <v>-3.6445296245308116E-2</v>
      </c>
      <c r="G64" s="53">
        <f t="shared" si="95"/>
        <v>-1.9385153145230961E-2</v>
      </c>
      <c r="H64" s="62">
        <f t="shared" si="95"/>
        <v>-1.2719131335518483E-2</v>
      </c>
      <c r="I64" s="248">
        <f t="shared" si="95"/>
        <v>2.5547610419915986E-3</v>
      </c>
      <c r="J64" s="248">
        <f t="shared" si="95"/>
        <v>-4.6124868618058427E-3</v>
      </c>
      <c r="K64" s="248">
        <f t="shared" si="95"/>
        <v>-6.3116697032672862E-3</v>
      </c>
      <c r="L64" s="53">
        <f>SUM(H64:K64)</f>
        <v>-2.1088526858600014E-2</v>
      </c>
      <c r="M64" s="62">
        <f t="shared" ref="M64:U64" si="96">M60/M62</f>
        <v>-6.498188389222787E-3</v>
      </c>
      <c r="N64" s="248">
        <f t="shared" si="96"/>
        <v>9.6910171792569336E-3</v>
      </c>
      <c r="O64" s="248">
        <f t="shared" si="96"/>
        <v>8.0345473601028637E-3</v>
      </c>
      <c r="P64" s="248">
        <f t="shared" si="96"/>
        <v>5.557271101765294E-3</v>
      </c>
      <c r="Q64" s="53">
        <f>SUM(M64:P64)</f>
        <v>1.6784647251902304E-2</v>
      </c>
      <c r="R64" s="53">
        <f t="shared" si="96"/>
        <v>3.2495593838405647E-2</v>
      </c>
      <c r="S64" s="53">
        <f t="shared" si="96"/>
        <v>6.5491428008136413E-2</v>
      </c>
      <c r="T64" s="53">
        <f t="shared" si="96"/>
        <v>0.10580827206909506</v>
      </c>
      <c r="U64" s="53">
        <f t="shared" si="96"/>
        <v>0.14542211732548138</v>
      </c>
    </row>
    <row r="65" spans="1:21" x14ac:dyDescent="0.25">
      <c r="B65" s="197"/>
      <c r="C65" s="53"/>
      <c r="D65" s="53"/>
      <c r="E65" s="53"/>
      <c r="F65" s="53"/>
      <c r="G65" s="53"/>
      <c r="H65" s="62"/>
      <c r="I65" s="248"/>
      <c r="J65" s="248"/>
      <c r="K65" s="248"/>
      <c r="L65" s="53"/>
      <c r="M65" s="62"/>
      <c r="N65" s="248"/>
      <c r="O65" s="248"/>
      <c r="P65" s="248"/>
      <c r="Q65" s="53"/>
      <c r="R65" s="53"/>
      <c r="S65" s="53"/>
      <c r="T65" s="53"/>
      <c r="U65" s="53"/>
    </row>
    <row r="66" spans="1:21" outlineLevel="1" x14ac:dyDescent="0.25">
      <c r="A66" s="182"/>
      <c r="B66" s="249" t="s">
        <v>152</v>
      </c>
      <c r="C66" s="183"/>
      <c r="D66" s="183"/>
      <c r="E66" s="183"/>
      <c r="F66" s="183"/>
      <c r="G66" s="183"/>
      <c r="H66" s="184"/>
      <c r="I66" s="250"/>
      <c r="J66" s="250"/>
      <c r="K66" s="250"/>
      <c r="L66" s="183"/>
      <c r="M66" s="184"/>
      <c r="N66" s="250"/>
      <c r="O66" s="250"/>
      <c r="P66" s="250"/>
      <c r="Q66" s="183"/>
      <c r="R66" s="183"/>
      <c r="S66" s="183"/>
      <c r="T66" s="183"/>
      <c r="U66" s="183"/>
    </row>
    <row r="67" spans="1:21" outlineLevel="1" x14ac:dyDescent="0.25">
      <c r="A67" s="182"/>
      <c r="B67" s="251" t="s">
        <v>153</v>
      </c>
      <c r="C67" s="188">
        <f>C60</f>
        <v>-2397.2289999999994</v>
      </c>
      <c r="D67" s="188">
        <f>D60</f>
        <v>-2852.3890000000001</v>
      </c>
      <c r="E67" s="188">
        <f>E60</f>
        <v>-3430.1209999999992</v>
      </c>
      <c r="F67" s="188">
        <f>F60</f>
        <v>-5534.933</v>
      </c>
      <c r="G67" s="188">
        <f t="shared" ref="G67:N67" si="97">G60</f>
        <v>-3537</v>
      </c>
      <c r="H67" s="252">
        <f t="shared" si="97"/>
        <v>-2559</v>
      </c>
      <c r="I67" s="252">
        <f t="shared" si="97"/>
        <v>514</v>
      </c>
      <c r="J67" s="252">
        <f t="shared" si="97"/>
        <v>-928</v>
      </c>
      <c r="K67" s="252">
        <f t="shared" si="97"/>
        <v>-1270</v>
      </c>
      <c r="L67" s="188">
        <f t="shared" si="97"/>
        <v>-4243</v>
      </c>
      <c r="M67" s="252">
        <f t="shared" si="97"/>
        <v>-1336</v>
      </c>
      <c r="N67" s="253">
        <f t="shared" si="97"/>
        <v>1997</v>
      </c>
      <c r="O67" s="252">
        <f t="shared" ref="O67:P67" si="98">O60</f>
        <v>1655.656035</v>
      </c>
      <c r="P67" s="252">
        <f t="shared" si="98"/>
        <v>1145.170851000001</v>
      </c>
      <c r="Q67" s="188">
        <f t="shared" ref="Q67:Q75" si="99">SUM(M67:P67)</f>
        <v>3461.8268860000007</v>
      </c>
      <c r="R67" s="188">
        <f>R60</f>
        <v>6696.2734349699967</v>
      </c>
      <c r="S67" s="188">
        <f t="shared" ref="S67:U67" si="100">S60</f>
        <v>13495.629954324007</v>
      </c>
      <c r="T67" s="188">
        <f t="shared" si="100"/>
        <v>21803.605897454858</v>
      </c>
      <c r="U67" s="188">
        <f t="shared" si="100"/>
        <v>29966.71690156405</v>
      </c>
    </row>
    <row r="68" spans="1:21" outlineLevel="1" x14ac:dyDescent="0.25">
      <c r="A68" s="182"/>
      <c r="B68" s="254" t="s">
        <v>154</v>
      </c>
      <c r="C68" s="188">
        <f t="shared" ref="C68" si="101">-C52</f>
        <v>0</v>
      </c>
      <c r="D68" s="188">
        <f t="shared" ref="D68" si="102">-D52</f>
        <v>-111.705</v>
      </c>
      <c r="E68" s="188">
        <f t="shared" ref="E68" si="103">-E52</f>
        <v>-44.167000000000002</v>
      </c>
      <c r="F68" s="188">
        <f t="shared" ref="F68" si="104">-F52</f>
        <v>-12.548</v>
      </c>
      <c r="G68" s="188">
        <f t="shared" ref="G68:N68" si="105">-G52</f>
        <v>-106</v>
      </c>
      <c r="H68" s="252">
        <f t="shared" si="105"/>
        <v>-135</v>
      </c>
      <c r="I68" s="252">
        <f t="shared" si="105"/>
        <v>28</v>
      </c>
      <c r="J68" s="252">
        <f t="shared" si="105"/>
        <v>201</v>
      </c>
      <c r="K68" s="252">
        <f t="shared" si="105"/>
        <v>-1153</v>
      </c>
      <c r="L68" s="188">
        <f t="shared" si="105"/>
        <v>-1059</v>
      </c>
      <c r="M68" s="252">
        <f t="shared" si="105"/>
        <v>86</v>
      </c>
      <c r="N68" s="253">
        <f t="shared" si="105"/>
        <v>238</v>
      </c>
      <c r="O68" s="252">
        <f t="shared" ref="O68:P68" si="106">-O52</f>
        <v>525.70896499999992</v>
      </c>
      <c r="P68" s="252">
        <f t="shared" si="106"/>
        <v>363.6181490000003</v>
      </c>
      <c r="Q68" s="188">
        <f t="shared" si="99"/>
        <v>1213.3271140000002</v>
      </c>
      <c r="R68" s="188">
        <f t="shared" ref="R68:U68" si="107">-R52</f>
        <v>2414.3026670299987</v>
      </c>
      <c r="S68" s="188">
        <f t="shared" si="107"/>
        <v>4865.7713440760035</v>
      </c>
      <c r="T68" s="188">
        <f t="shared" si="107"/>
        <v>7861.1640310551529</v>
      </c>
      <c r="U68" s="188">
        <f t="shared" si="107"/>
        <v>10804.326501924454</v>
      </c>
    </row>
    <row r="69" spans="1:21" outlineLevel="1" x14ac:dyDescent="0.25">
      <c r="A69" s="182"/>
      <c r="B69" s="254" t="s">
        <v>155</v>
      </c>
      <c r="C69" s="188">
        <f t="shared" ref="C69" si="108">-C47</f>
        <v>31.625</v>
      </c>
      <c r="D69" s="188">
        <f t="shared" ref="D69" si="109">-D47</f>
        <v>39.991999999999997</v>
      </c>
      <c r="E69" s="188">
        <f t="shared" ref="E69" si="110">-E47</f>
        <v>214.76300000000001</v>
      </c>
      <c r="F69" s="188">
        <f t="shared" ref="F69" si="111">-F47</f>
        <v>374.46300000000002</v>
      </c>
      <c r="G69" s="188">
        <f t="shared" ref="G69:N69" si="112">-G47</f>
        <v>1657</v>
      </c>
      <c r="H69" s="252">
        <f t="shared" si="112"/>
        <v>884</v>
      </c>
      <c r="I69" s="252">
        <f t="shared" si="112"/>
        <v>714</v>
      </c>
      <c r="J69" s="252">
        <f t="shared" si="112"/>
        <v>847</v>
      </c>
      <c r="K69" s="252">
        <f t="shared" si="112"/>
        <v>816</v>
      </c>
      <c r="L69" s="188">
        <f t="shared" si="112"/>
        <v>3261</v>
      </c>
      <c r="M69" s="252">
        <f t="shared" si="112"/>
        <v>553</v>
      </c>
      <c r="N69" s="253">
        <f t="shared" si="112"/>
        <v>418</v>
      </c>
      <c r="O69" s="252">
        <f t="shared" ref="O69:P69" si="113">-O47</f>
        <v>646.07500000000005</v>
      </c>
      <c r="P69" s="252">
        <f t="shared" si="113"/>
        <v>646.07500000000005</v>
      </c>
      <c r="Q69" s="188">
        <f t="shared" si="99"/>
        <v>2263.15</v>
      </c>
      <c r="R69" s="188">
        <f t="shared" ref="R69:U69" si="114">-R47</f>
        <v>2584.3000000000002</v>
      </c>
      <c r="S69" s="188">
        <f t="shared" si="114"/>
        <v>2067.44</v>
      </c>
      <c r="T69" s="188">
        <f t="shared" si="114"/>
        <v>2067.44</v>
      </c>
      <c r="U69" s="188">
        <f t="shared" si="114"/>
        <v>2067.44</v>
      </c>
    </row>
    <row r="70" spans="1:21" outlineLevel="1" x14ac:dyDescent="0.25">
      <c r="A70" s="182"/>
      <c r="B70" s="254" t="s">
        <v>160</v>
      </c>
      <c r="C70" s="191">
        <v>0</v>
      </c>
      <c r="D70" s="191">
        <v>0</v>
      </c>
      <c r="E70" s="191">
        <v>0</v>
      </c>
      <c r="F70" s="191">
        <v>0</v>
      </c>
      <c r="G70" s="191">
        <v>0</v>
      </c>
      <c r="H70" s="255">
        <v>0</v>
      </c>
      <c r="I70" s="256">
        <v>207</v>
      </c>
      <c r="J70" s="255">
        <v>0</v>
      </c>
      <c r="K70" s="256">
        <v>397</v>
      </c>
      <c r="L70" s="189">
        <f>207+397</f>
        <v>604</v>
      </c>
      <c r="M70" s="255">
        <v>0</v>
      </c>
      <c r="N70" s="253">
        <f>-N50</f>
        <v>-1287</v>
      </c>
      <c r="O70" s="255">
        <v>0</v>
      </c>
      <c r="P70" s="255">
        <v>0</v>
      </c>
      <c r="Q70" s="196">
        <f t="shared" si="99"/>
        <v>-1287</v>
      </c>
      <c r="R70" s="191">
        <v>0</v>
      </c>
      <c r="S70" s="191">
        <v>0</v>
      </c>
      <c r="T70" s="191">
        <v>0</v>
      </c>
      <c r="U70" s="191">
        <v>0</v>
      </c>
    </row>
    <row r="71" spans="1:21" outlineLevel="1" x14ac:dyDescent="0.25">
      <c r="A71" s="182"/>
      <c r="B71" s="254" t="s">
        <v>156</v>
      </c>
      <c r="C71" s="191">
        <f t="shared" ref="C71" si="115">-C49</f>
        <v>66.593000000000004</v>
      </c>
      <c r="D71" s="191">
        <f t="shared" ref="D71" si="116">-D49</f>
        <v>15.754</v>
      </c>
      <c r="E71" s="191">
        <f t="shared" ref="E71" si="117">-E49</f>
        <v>57.280999999999999</v>
      </c>
      <c r="F71" s="191">
        <f t="shared" ref="F71" si="118">-F49</f>
        <v>363.43</v>
      </c>
      <c r="G71" s="188">
        <f t="shared" ref="G71:N71" si="119">-G49</f>
        <v>-29</v>
      </c>
      <c r="H71" s="252">
        <f t="shared" si="119"/>
        <v>56</v>
      </c>
      <c r="I71" s="252">
        <f t="shared" si="119"/>
        <v>-66</v>
      </c>
      <c r="J71" s="252">
        <f t="shared" si="119"/>
        <v>-100</v>
      </c>
      <c r="K71" s="252">
        <f t="shared" si="119"/>
        <v>411</v>
      </c>
      <c r="L71" s="188">
        <f t="shared" si="119"/>
        <v>301</v>
      </c>
      <c r="M71" s="252">
        <f t="shared" si="119"/>
        <v>141</v>
      </c>
      <c r="N71" s="253">
        <f t="shared" si="119"/>
        <v>129</v>
      </c>
      <c r="O71" s="253">
        <f t="shared" ref="O71:P71" si="120">-O49</f>
        <v>0</v>
      </c>
      <c r="P71" s="253">
        <f t="shared" si="120"/>
        <v>0</v>
      </c>
      <c r="Q71" s="188">
        <f t="shared" si="99"/>
        <v>270</v>
      </c>
      <c r="R71" s="191">
        <f t="shared" ref="R71:U71" si="121">-R49</f>
        <v>0</v>
      </c>
      <c r="S71" s="191">
        <f t="shared" si="121"/>
        <v>0</v>
      </c>
      <c r="T71" s="191">
        <f t="shared" si="121"/>
        <v>0</v>
      </c>
      <c r="U71" s="191">
        <f t="shared" si="121"/>
        <v>0</v>
      </c>
    </row>
    <row r="72" spans="1:21" outlineLevel="1" x14ac:dyDescent="0.25">
      <c r="A72" s="182"/>
      <c r="B72" s="254" t="s">
        <v>94</v>
      </c>
      <c r="C72" s="188">
        <f t="shared" ref="C72" si="122">-C33</f>
        <v>275.60000000000002</v>
      </c>
      <c r="D72" s="188">
        <f t="shared" ref="D72" si="123">-D33</f>
        <v>342.6</v>
      </c>
      <c r="E72" s="188">
        <f t="shared" ref="E72" si="124">-E33</f>
        <v>1370.7449999999999</v>
      </c>
      <c r="F72" s="188">
        <f t="shared" ref="F72" si="125">-F33</f>
        <v>975.29899999999998</v>
      </c>
      <c r="G72" s="188">
        <f t="shared" ref="G72:N72" si="126">-G33</f>
        <v>433</v>
      </c>
      <c r="H72" s="252">
        <f t="shared" si="126"/>
        <v>41</v>
      </c>
      <c r="I72" s="252">
        <f t="shared" si="126"/>
        <v>441</v>
      </c>
      <c r="J72" s="252">
        <f t="shared" si="126"/>
        <v>137</v>
      </c>
      <c r="K72" s="252">
        <f t="shared" si="126"/>
        <v>178</v>
      </c>
      <c r="L72" s="188">
        <f t="shared" si="126"/>
        <v>797</v>
      </c>
      <c r="M72" s="252">
        <f t="shared" si="126"/>
        <v>161</v>
      </c>
      <c r="N72" s="253">
        <f t="shared" si="126"/>
        <v>98</v>
      </c>
      <c r="O72" s="252">
        <f t="shared" ref="O72:P72" si="127">-O33</f>
        <v>282.74400000000003</v>
      </c>
      <c r="P72" s="252">
        <f t="shared" si="127"/>
        <v>224.465</v>
      </c>
      <c r="Q72" s="188">
        <f t="shared" si="99"/>
        <v>766.20900000000006</v>
      </c>
      <c r="R72" s="188">
        <f t="shared" ref="R72:U72" si="128">-R33</f>
        <v>1499.3430899999998</v>
      </c>
      <c r="S72" s="188">
        <f t="shared" si="128"/>
        <v>1747.2035321000001</v>
      </c>
      <c r="T72" s="188">
        <f t="shared" si="128"/>
        <v>1917.8808198549998</v>
      </c>
      <c r="U72" s="188">
        <f t="shared" si="128"/>
        <v>2196.845302743</v>
      </c>
    </row>
    <row r="73" spans="1:21" outlineLevel="1" x14ac:dyDescent="0.25">
      <c r="A73" s="182"/>
      <c r="B73" s="254" t="s">
        <v>22</v>
      </c>
      <c r="C73" s="188">
        <f t="shared" ref="C73" si="129">-C31</f>
        <v>0</v>
      </c>
      <c r="D73" s="188">
        <f t="shared" ref="D73" si="130">-D31</f>
        <v>0</v>
      </c>
      <c r="E73" s="188">
        <f t="shared" ref="E73" si="131">-E31</f>
        <v>1680.3920000000001</v>
      </c>
      <c r="F73" s="188">
        <f t="shared" ref="F73" si="132">-F31</f>
        <v>1104.133</v>
      </c>
      <c r="G73" s="188">
        <f t="shared" ref="G73:N73" si="133">-G31</f>
        <v>2914</v>
      </c>
      <c r="H73" s="252">
        <f t="shared" si="133"/>
        <v>1141</v>
      </c>
      <c r="I73" s="252">
        <f t="shared" si="133"/>
        <v>1146</v>
      </c>
      <c r="J73" s="252">
        <f t="shared" si="133"/>
        <v>1146</v>
      </c>
      <c r="K73" s="252">
        <f t="shared" si="133"/>
        <v>1348</v>
      </c>
      <c r="L73" s="188">
        <f t="shared" si="133"/>
        <v>4781</v>
      </c>
      <c r="M73" s="252">
        <f t="shared" si="133"/>
        <v>1263</v>
      </c>
      <c r="N73" s="253">
        <f t="shared" si="133"/>
        <v>1232</v>
      </c>
      <c r="O73" s="252">
        <f t="shared" ref="O73:P73" si="134">-O31</f>
        <v>1979.2080000000003</v>
      </c>
      <c r="P73" s="252">
        <f t="shared" si="134"/>
        <v>1616.1479999999999</v>
      </c>
      <c r="Q73" s="188">
        <f t="shared" si="99"/>
        <v>6090.3560000000007</v>
      </c>
      <c r="R73" s="188">
        <f t="shared" ref="R73:U73" si="135">-R31</f>
        <v>6797.0220079999999</v>
      </c>
      <c r="S73" s="188">
        <f t="shared" si="135"/>
        <v>8198.4165737000003</v>
      </c>
      <c r="T73" s="188">
        <f t="shared" si="135"/>
        <v>8717.6400902500009</v>
      </c>
      <c r="U73" s="188">
        <f t="shared" si="135"/>
        <v>9885.8038623435004</v>
      </c>
    </row>
    <row r="74" spans="1:21" outlineLevel="1" x14ac:dyDescent="0.25">
      <c r="A74" s="182"/>
      <c r="B74" s="254" t="s">
        <v>157</v>
      </c>
      <c r="C74" s="191">
        <v>0</v>
      </c>
      <c r="D74" s="191">
        <v>0</v>
      </c>
      <c r="E74" s="191">
        <v>0</v>
      </c>
      <c r="F74" s="191">
        <v>0</v>
      </c>
      <c r="G74" s="189">
        <v>817</v>
      </c>
      <c r="H74" s="256">
        <v>204</v>
      </c>
      <c r="I74" s="255">
        <v>0</v>
      </c>
      <c r="J74" s="256">
        <v>442</v>
      </c>
      <c r="K74" s="256">
        <f>204</f>
        <v>204</v>
      </c>
      <c r="L74" s="189">
        <v>850</v>
      </c>
      <c r="M74" s="256">
        <v>35</v>
      </c>
      <c r="N74" s="255">
        <v>215</v>
      </c>
      <c r="O74" s="255">
        <v>0</v>
      </c>
      <c r="P74" s="255">
        <v>0</v>
      </c>
      <c r="Q74" s="188">
        <f t="shared" si="99"/>
        <v>250</v>
      </c>
      <c r="R74" s="191">
        <v>0</v>
      </c>
      <c r="S74" s="191">
        <v>0</v>
      </c>
      <c r="T74" s="191">
        <v>0</v>
      </c>
      <c r="U74" s="191">
        <v>0</v>
      </c>
    </row>
    <row r="75" spans="1:21" x14ac:dyDescent="0.25">
      <c r="A75" s="182"/>
      <c r="B75" s="251" t="s">
        <v>158</v>
      </c>
      <c r="C75" s="190">
        <f t="shared" ref="C75" si="136">SUM(C67:C74)</f>
        <v>-2023.4109999999996</v>
      </c>
      <c r="D75" s="190">
        <f t="shared" ref="D75" si="137">SUM(D67:D74)</f>
        <v>-2565.748</v>
      </c>
      <c r="E75" s="190">
        <f t="shared" ref="E75" si="138">SUM(E67:E74)</f>
        <v>-151.10699999999929</v>
      </c>
      <c r="F75" s="190">
        <f t="shared" ref="F75" si="139">SUM(F67:F74)</f>
        <v>-2730.1559999999999</v>
      </c>
      <c r="G75" s="190">
        <f>SUM(G67:G74)</f>
        <v>2149</v>
      </c>
      <c r="H75" s="257">
        <f>SUM(H67:H74)</f>
        <v>-368</v>
      </c>
      <c r="I75" s="257">
        <f>SUM(I67:I74)</f>
        <v>2984</v>
      </c>
      <c r="J75" s="257">
        <f>SUM(J67:J74)</f>
        <v>1745</v>
      </c>
      <c r="K75" s="257">
        <f>SUM(K67:K74)</f>
        <v>931</v>
      </c>
      <c r="L75" s="190">
        <f>SUM(H75:K75)</f>
        <v>5292</v>
      </c>
      <c r="M75" s="257">
        <f>SUM(M67:M74)</f>
        <v>903</v>
      </c>
      <c r="N75" s="257">
        <f>SUM(N67:N74)</f>
        <v>3040</v>
      </c>
      <c r="O75" s="257">
        <f t="shared" ref="O75:R75" si="140">SUM(O67:O74)</f>
        <v>5089.3919999999998</v>
      </c>
      <c r="P75" s="257">
        <f t="shared" si="140"/>
        <v>3995.4770000000017</v>
      </c>
      <c r="Q75" s="190">
        <f t="shared" si="99"/>
        <v>13027.869000000002</v>
      </c>
      <c r="R75" s="190">
        <f t="shared" si="140"/>
        <v>19991.241199999997</v>
      </c>
      <c r="S75" s="190">
        <f t="shared" ref="S75" si="141">SUM(S67:S74)</f>
        <v>30374.46140420001</v>
      </c>
      <c r="T75" s="190">
        <f t="shared" ref="T75" si="142">SUM(T67:T74)</f>
        <v>42367.730838615011</v>
      </c>
      <c r="U75" s="190">
        <f t="shared" ref="U75" si="143">SUM(U67:U74)</f>
        <v>54921.132568575005</v>
      </c>
    </row>
    <row r="76" spans="1:21" x14ac:dyDescent="0.25">
      <c r="A76" s="182"/>
      <c r="B76" s="258" t="s">
        <v>159</v>
      </c>
      <c r="C76" s="187">
        <f t="shared" ref="C76" si="144">C75/C16</f>
        <v>-0.57261946369217831</v>
      </c>
      <c r="D76" s="187">
        <f t="shared" ref="D76" si="145">D75/D16</f>
        <v>-0.3824932662050855</v>
      </c>
      <c r="E76" s="187">
        <f t="shared" ref="E76" si="146">E75/E16</f>
        <v>-9.9767093253019332E-3</v>
      </c>
      <c r="F76" s="187">
        <f t="shared" ref="F76" si="147">F75/F16</f>
        <v>-0.22241779749063517</v>
      </c>
      <c r="G76" s="187">
        <f t="shared" ref="G76:N76" si="148">G75/G16</f>
        <v>8.3850325802801509E-2</v>
      </c>
      <c r="H76" s="185">
        <f t="shared" si="148"/>
        <v>-6.6763425253991288E-2</v>
      </c>
      <c r="I76" s="186">
        <f t="shared" si="148"/>
        <v>0.20878813322138259</v>
      </c>
      <c r="J76" s="186">
        <f t="shared" si="148"/>
        <v>0.14197380196892034</v>
      </c>
      <c r="K76" s="186">
        <f t="shared" si="148"/>
        <v>0.10563939634630659</v>
      </c>
      <c r="L76" s="187">
        <f t="shared" si="148"/>
        <v>0.12936344969199179</v>
      </c>
      <c r="M76" s="186">
        <f t="shared" si="148"/>
        <v>0.11916072842438638</v>
      </c>
      <c r="N76" s="186">
        <f t="shared" si="148"/>
        <v>0.22262907359941414</v>
      </c>
      <c r="O76" s="186">
        <f t="shared" ref="O76" si="149">O75/O16</f>
        <v>0.18</v>
      </c>
      <c r="P76" s="186">
        <f t="shared" ref="P76" si="150">P75/P16</f>
        <v>0.17800000000000007</v>
      </c>
      <c r="Q76" s="187">
        <f>Q75/Q16</f>
        <v>0.18105855276781388</v>
      </c>
      <c r="R76" s="187">
        <f t="shared" ref="R76" si="151">R75/R16</f>
        <v>0.19999999999999998</v>
      </c>
      <c r="S76" s="187">
        <f t="shared" ref="S76" si="152">S75/S16</f>
        <v>0.22600000000000006</v>
      </c>
      <c r="T76" s="187">
        <f t="shared" ref="T76" si="153">T75/T16</f>
        <v>0.24300000000000008</v>
      </c>
      <c r="U76" s="187">
        <f t="shared" ref="U76" si="154">U75/U16</f>
        <v>0.25</v>
      </c>
    </row>
    <row r="77" spans="1:21" x14ac:dyDescent="0.25">
      <c r="A77" s="182"/>
      <c r="B77" s="259"/>
      <c r="C77" s="260"/>
      <c r="D77" s="260"/>
      <c r="E77" s="260"/>
      <c r="F77" s="260"/>
      <c r="G77" s="260"/>
      <c r="H77" s="261"/>
      <c r="I77" s="262"/>
      <c r="J77" s="262"/>
      <c r="K77" s="262"/>
      <c r="L77" s="260"/>
      <c r="M77" s="262"/>
      <c r="N77" s="262"/>
      <c r="O77" s="262"/>
      <c r="P77" s="262"/>
      <c r="Q77" s="260"/>
      <c r="R77" s="260"/>
      <c r="S77" s="260"/>
      <c r="T77" s="260"/>
      <c r="U77" s="260"/>
    </row>
    <row r="83" ht="9" customHeight="1" x14ac:dyDescent="0.25"/>
  </sheetData>
  <pageMargins left="0.7" right="0.7" top="0.75" bottom="0.75" header="0.3" footer="0.3"/>
  <pageSetup scale="5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312B-FBF2-486F-8CDE-DEDC05A35F31}">
  <sheetPr>
    <pageSetUpPr autoPageBreaks="0" fitToPage="1"/>
  </sheetPr>
  <dimension ref="A1:Z62"/>
  <sheetViews>
    <sheetView showGridLines="0" zoomScale="85" zoomScaleNormal="85" workbookViewId="0">
      <pane xSplit="1" ySplit="3" topLeftCell="C4" activePane="bottomRight" state="frozen"/>
      <selection activeCell="N45" sqref="N45"/>
      <selection pane="topRight" activeCell="N45" sqref="N45"/>
      <selection pane="bottomLeft" activeCell="N45" sqref="N45"/>
      <selection pane="bottomRight" activeCell="C4" sqref="C4"/>
    </sheetView>
  </sheetViews>
  <sheetFormatPr defaultRowHeight="15" outlineLevelCol="1" x14ac:dyDescent="0.25"/>
  <cols>
    <col min="1" max="1" width="38.5703125" customWidth="1"/>
    <col min="2" max="2" width="0" hidden="1" customWidth="1"/>
    <col min="3" max="7" width="12" customWidth="1"/>
    <col min="8" max="11" width="12" hidden="1" customWidth="1" outlineLevel="1"/>
    <col min="12" max="12" width="12" customWidth="1" collapsed="1"/>
    <col min="13" max="16" width="12" customWidth="1" outlineLevel="1"/>
    <col min="17" max="22" width="12" customWidth="1"/>
    <col min="23" max="23" width="5.85546875" customWidth="1"/>
    <col min="24" max="24" width="12" customWidth="1"/>
    <col min="25" max="31" width="10.28515625" customWidth="1"/>
  </cols>
  <sheetData>
    <row r="1" spans="1:22" x14ac:dyDescent="0.25">
      <c r="A1" s="7" t="s">
        <v>14</v>
      </c>
      <c r="B1" s="7"/>
      <c r="C1" s="158">
        <f>IS!C2</f>
        <v>43100</v>
      </c>
      <c r="D1" s="158">
        <f>IS!D2</f>
        <v>43465</v>
      </c>
      <c r="E1" s="158">
        <f>IS!E2</f>
        <v>43830</v>
      </c>
      <c r="F1" s="158">
        <f>IS!F2</f>
        <v>44196</v>
      </c>
      <c r="G1" s="158">
        <f>IS!G2</f>
        <v>44561</v>
      </c>
      <c r="H1" s="8"/>
      <c r="I1" s="8"/>
      <c r="J1" s="8"/>
      <c r="K1" s="8"/>
      <c r="L1" s="158">
        <f>IS!L2</f>
        <v>44926</v>
      </c>
      <c r="M1" s="158">
        <f>IS!M2</f>
        <v>45016</v>
      </c>
      <c r="N1" s="158">
        <f>[1]IS!N2</f>
        <v>45107</v>
      </c>
      <c r="O1" s="159">
        <f>IS!O2</f>
        <v>45199</v>
      </c>
      <c r="P1" s="159">
        <f>IS!P2</f>
        <v>45291</v>
      </c>
      <c r="Q1" s="159">
        <f>P1</f>
        <v>45291</v>
      </c>
      <c r="R1" s="159">
        <f>IS!R2</f>
        <v>45657</v>
      </c>
      <c r="S1" s="159">
        <f>IS!S2</f>
        <v>46022</v>
      </c>
      <c r="T1" s="159">
        <f>IS!T2</f>
        <v>46387</v>
      </c>
      <c r="U1" s="159">
        <f>IS!U2</f>
        <v>46752</v>
      </c>
    </row>
    <row r="2" spans="1:22" x14ac:dyDescent="0.25">
      <c r="A2" s="13" t="s">
        <v>26</v>
      </c>
      <c r="B2" s="45"/>
      <c r="C2" s="9">
        <v>2017</v>
      </c>
      <c r="D2" s="9">
        <v>2018</v>
      </c>
      <c r="E2" s="9">
        <v>2019</v>
      </c>
      <c r="F2" s="9">
        <v>2020</v>
      </c>
      <c r="G2" s="9">
        <v>2021</v>
      </c>
      <c r="H2" s="9"/>
      <c r="I2" s="45"/>
      <c r="J2" s="45"/>
      <c r="K2" s="9"/>
      <c r="L2" s="9">
        <v>2022</v>
      </c>
      <c r="M2" s="45" t="s">
        <v>81</v>
      </c>
      <c r="N2" s="45" t="s">
        <v>162</v>
      </c>
      <c r="O2" s="10" t="s">
        <v>82</v>
      </c>
      <c r="P2" s="10" t="s">
        <v>83</v>
      </c>
      <c r="Q2" s="17">
        <f>IS!Q3</f>
        <v>2023</v>
      </c>
      <c r="R2" s="17">
        <f>IS!R3</f>
        <v>2024</v>
      </c>
      <c r="S2" s="17">
        <f>IS!S3</f>
        <v>2025</v>
      </c>
      <c r="T2" s="17">
        <f>IS!T3</f>
        <v>2026</v>
      </c>
      <c r="U2" s="17">
        <f>IS!U3</f>
        <v>2027</v>
      </c>
    </row>
    <row r="3" spans="1:22" ht="1.5" customHeight="1" x14ac:dyDescent="0.25">
      <c r="C3" s="65"/>
      <c r="D3" s="65"/>
      <c r="E3" s="65"/>
      <c r="F3" s="65"/>
      <c r="G3" s="65"/>
      <c r="H3" s="44"/>
      <c r="K3" s="93"/>
      <c r="L3" s="65"/>
      <c r="Q3" s="47"/>
      <c r="R3" s="16"/>
      <c r="S3" s="16"/>
      <c r="T3" s="47"/>
      <c r="U3" s="43"/>
    </row>
    <row r="4" spans="1:22" x14ac:dyDescent="0.25">
      <c r="A4" s="11" t="s">
        <v>27</v>
      </c>
      <c r="C4" s="47"/>
      <c r="D4" s="47"/>
      <c r="E4" s="47"/>
      <c r="F4" s="47"/>
      <c r="G4" s="47"/>
      <c r="H4" s="16"/>
      <c r="K4" s="43"/>
      <c r="L4" s="47"/>
      <c r="Q4" s="47"/>
      <c r="R4" s="47"/>
      <c r="S4" s="47"/>
      <c r="T4" s="47"/>
      <c r="U4" s="47"/>
    </row>
    <row r="5" spans="1:22" x14ac:dyDescent="0.25">
      <c r="A5" s="2" t="s">
        <v>28</v>
      </c>
      <c r="C5" s="47"/>
      <c r="D5" s="47"/>
      <c r="E5" s="47"/>
      <c r="F5" s="47"/>
      <c r="G5" s="47"/>
      <c r="H5" s="16"/>
      <c r="K5" s="43"/>
      <c r="L5" s="47"/>
      <c r="Q5" s="47"/>
      <c r="R5" s="47"/>
      <c r="S5" s="47"/>
      <c r="T5" s="47"/>
      <c r="U5" s="47"/>
    </row>
    <row r="6" spans="1:22" x14ac:dyDescent="0.25">
      <c r="A6" t="s">
        <v>29</v>
      </c>
      <c r="C6" s="100">
        <v>0</v>
      </c>
      <c r="D6" s="100">
        <v>4929.8649999999998</v>
      </c>
      <c r="E6" s="100">
        <v>2097.1990000000001</v>
      </c>
      <c r="F6" s="100">
        <v>12924.509</v>
      </c>
      <c r="G6" s="100">
        <v>6754</v>
      </c>
      <c r="H6" s="124"/>
      <c r="I6" s="126"/>
      <c r="J6" s="126"/>
      <c r="K6" s="121"/>
      <c r="L6" s="100">
        <v>8265</v>
      </c>
      <c r="M6" s="126">
        <v>3923</v>
      </c>
      <c r="N6" s="126">
        <v>6716</v>
      </c>
      <c r="O6" s="133">
        <f>CF!O46</f>
        <v>11956.444199383566</v>
      </c>
      <c r="P6" s="133">
        <f>CF!P46</f>
        <v>11954.443790109593</v>
      </c>
      <c r="Q6" s="134">
        <f>P6</f>
        <v>11954.443790109593</v>
      </c>
      <c r="R6" s="134">
        <f>CF!R46</f>
        <v>19331.219394038497</v>
      </c>
      <c r="S6" s="134">
        <f>CF!S46</f>
        <v>28691.156308546062</v>
      </c>
      <c r="T6" s="134">
        <f>CF!T46</f>
        <v>44575.379586080584</v>
      </c>
      <c r="U6" s="134">
        <f>CF!U46</f>
        <v>68944.893870795073</v>
      </c>
    </row>
    <row r="7" spans="1:22" x14ac:dyDescent="0.25">
      <c r="A7" t="s">
        <v>107</v>
      </c>
      <c r="C7" s="100">
        <v>350.25700000000001</v>
      </c>
      <c r="D7" s="100">
        <v>0</v>
      </c>
      <c r="E7" s="100">
        <v>0</v>
      </c>
      <c r="F7" s="100">
        <v>0</v>
      </c>
      <c r="G7" s="100">
        <v>2699</v>
      </c>
      <c r="H7" s="124"/>
      <c r="I7" s="126"/>
      <c r="J7" s="126"/>
      <c r="K7" s="121"/>
      <c r="L7" s="100">
        <v>4347</v>
      </c>
      <c r="M7" s="126">
        <v>4401</v>
      </c>
      <c r="N7" s="126">
        <v>1639</v>
      </c>
      <c r="O7" s="133">
        <f>N7</f>
        <v>1639</v>
      </c>
      <c r="P7" s="133">
        <f>O7</f>
        <v>1639</v>
      </c>
      <c r="Q7" s="134">
        <f>P7</f>
        <v>1639</v>
      </c>
      <c r="R7" s="134">
        <f>Q7</f>
        <v>1639</v>
      </c>
      <c r="S7" s="134">
        <f>R7</f>
        <v>1639</v>
      </c>
      <c r="T7" s="134">
        <f>S7</f>
        <v>1639</v>
      </c>
      <c r="U7" s="134">
        <f>T7</f>
        <v>1639</v>
      </c>
    </row>
    <row r="8" spans="1:22" x14ac:dyDescent="0.25">
      <c r="A8" t="s">
        <v>30</v>
      </c>
      <c r="C8" s="100">
        <v>1487.373</v>
      </c>
      <c r="D8" s="100">
        <v>1733.3630000000001</v>
      </c>
      <c r="E8" s="100">
        <v>5083.74</v>
      </c>
      <c r="F8" s="100">
        <v>3119.92</v>
      </c>
      <c r="G8" s="100">
        <v>6095</v>
      </c>
      <c r="H8" s="124"/>
      <c r="I8" s="126"/>
      <c r="J8" s="126"/>
      <c r="K8" s="121"/>
      <c r="L8" s="100">
        <v>12221</v>
      </c>
      <c r="M8" s="126">
        <v>7202</v>
      </c>
      <c r="N8" s="126">
        <v>13573</v>
      </c>
      <c r="O8" s="133">
        <f t="shared" ref="O8" si="0">O54</f>
        <v>13943.539726027397</v>
      </c>
      <c r="P8" s="133">
        <f t="shared" ref="P8" si="1">P54</f>
        <v>13529.397260273972</v>
      </c>
      <c r="Q8" s="134">
        <f t="shared" ref="Q8:Q11" si="2">P8</f>
        <v>13529.397260273972</v>
      </c>
      <c r="R8" s="134">
        <f t="shared" ref="R8:U9" si="3">R54</f>
        <v>13692.630958904108</v>
      </c>
      <c r="S8" s="134">
        <f t="shared" si="3"/>
        <v>18410.99612328767</v>
      </c>
      <c r="T8" s="134">
        <f t="shared" si="3"/>
        <v>23883.945452739725</v>
      </c>
      <c r="U8" s="134">
        <f t="shared" si="3"/>
        <v>30093.771270452056</v>
      </c>
    </row>
    <row r="9" spans="1:22" x14ac:dyDescent="0.25">
      <c r="A9" t="s">
        <v>31</v>
      </c>
      <c r="C9" s="100">
        <v>1530.508</v>
      </c>
      <c r="D9" s="100">
        <v>2906.6689999999999</v>
      </c>
      <c r="E9" s="100">
        <v>5886.2560000000003</v>
      </c>
      <c r="F9" s="100">
        <v>8129.3019999999997</v>
      </c>
      <c r="G9" s="100">
        <v>14977</v>
      </c>
      <c r="H9" s="124"/>
      <c r="I9" s="126"/>
      <c r="J9" s="126"/>
      <c r="K9" s="121"/>
      <c r="L9" s="100">
        <v>11367</v>
      </c>
      <c r="M9" s="126">
        <v>13051</v>
      </c>
      <c r="N9" s="126">
        <v>14800</v>
      </c>
      <c r="O9" s="133">
        <f t="shared" ref="O9" si="4">O55</f>
        <v>17351.960547945204</v>
      </c>
      <c r="P9" s="133">
        <f t="shared" ref="P9" si="5">P55</f>
        <v>19285.540821917806</v>
      </c>
      <c r="Q9" s="134">
        <f t="shared" si="2"/>
        <v>19285.540821917806</v>
      </c>
      <c r="R9" s="134">
        <f t="shared" si="3"/>
        <v>20703.25800986301</v>
      </c>
      <c r="S9" s="134">
        <f t="shared" si="3"/>
        <v>24854.844766438357</v>
      </c>
      <c r="T9" s="134">
        <f t="shared" si="3"/>
        <v>28374.127197854788</v>
      </c>
      <c r="U9" s="134">
        <f t="shared" si="3"/>
        <v>35751.400269297046</v>
      </c>
    </row>
    <row r="10" spans="1:22" x14ac:dyDescent="0.25">
      <c r="A10" t="s">
        <v>32</v>
      </c>
      <c r="C10" s="100">
        <v>90.283000000000001</v>
      </c>
      <c r="D10" s="100">
        <v>169.06899999999999</v>
      </c>
      <c r="E10" s="100">
        <v>431.46199999999999</v>
      </c>
      <c r="F10" s="100">
        <v>1388.55</v>
      </c>
      <c r="G10" s="100">
        <v>1124</v>
      </c>
      <c r="H10" s="124"/>
      <c r="I10" s="126"/>
      <c r="J10" s="126"/>
      <c r="K10" s="121"/>
      <c r="L10" s="100">
        <v>1556</v>
      </c>
      <c r="M10" s="126">
        <v>2118</v>
      </c>
      <c r="N10" s="126">
        <v>1413</v>
      </c>
      <c r="O10" s="133">
        <f t="shared" ref="O10:U11" si="6">N10</f>
        <v>1413</v>
      </c>
      <c r="P10" s="133">
        <f t="shared" si="6"/>
        <v>1413</v>
      </c>
      <c r="Q10" s="134">
        <f t="shared" si="2"/>
        <v>1413</v>
      </c>
      <c r="R10" s="134">
        <f t="shared" si="6"/>
        <v>1413</v>
      </c>
      <c r="S10" s="134">
        <f t="shared" si="6"/>
        <v>1413</v>
      </c>
      <c r="T10" s="134">
        <f t="shared" si="6"/>
        <v>1413</v>
      </c>
      <c r="U10" s="134">
        <f t="shared" si="6"/>
        <v>1413</v>
      </c>
    </row>
    <row r="11" spans="1:22" x14ac:dyDescent="0.25">
      <c r="A11" t="s">
        <v>99</v>
      </c>
      <c r="C11" s="100">
        <v>0</v>
      </c>
      <c r="D11" s="100">
        <v>0</v>
      </c>
      <c r="E11" s="100">
        <v>0</v>
      </c>
      <c r="F11" s="100">
        <v>82.069000000000003</v>
      </c>
      <c r="G11" s="100">
        <v>75</v>
      </c>
      <c r="H11" s="124"/>
      <c r="I11" s="126"/>
      <c r="J11" s="126"/>
      <c r="K11" s="121"/>
      <c r="L11" s="100">
        <v>71</v>
      </c>
      <c r="M11" s="126">
        <f>499+121</f>
        <v>620</v>
      </c>
      <c r="N11" s="126">
        <f>796+154</f>
        <v>950</v>
      </c>
      <c r="O11" s="133">
        <f t="shared" si="6"/>
        <v>950</v>
      </c>
      <c r="P11" s="133">
        <f t="shared" si="6"/>
        <v>950</v>
      </c>
      <c r="Q11" s="134">
        <f t="shared" si="2"/>
        <v>950</v>
      </c>
      <c r="R11" s="134">
        <f t="shared" si="6"/>
        <v>950</v>
      </c>
      <c r="S11" s="134">
        <f t="shared" si="6"/>
        <v>950</v>
      </c>
      <c r="T11" s="134">
        <f t="shared" si="6"/>
        <v>950</v>
      </c>
      <c r="U11" s="134">
        <f t="shared" si="6"/>
        <v>950</v>
      </c>
    </row>
    <row r="12" spans="1:22" x14ac:dyDescent="0.25">
      <c r="A12" s="2" t="s">
        <v>33</v>
      </c>
      <c r="C12" s="101">
        <f>SUM(C6:C11)</f>
        <v>3458.4209999999998</v>
      </c>
      <c r="D12" s="101">
        <f>SUM(D6:D11)</f>
        <v>9738.9660000000003</v>
      </c>
      <c r="E12" s="101">
        <f>SUM(E6:E11)</f>
        <v>13498.656999999999</v>
      </c>
      <c r="F12" s="101">
        <f>SUM(F6:F11)</f>
        <v>25644.35</v>
      </c>
      <c r="G12" s="101">
        <f>SUM(G6:G11)</f>
        <v>31724</v>
      </c>
      <c r="H12" s="125"/>
      <c r="I12" s="127"/>
      <c r="J12" s="127"/>
      <c r="K12" s="122"/>
      <c r="L12" s="101">
        <f t="shared" ref="L12:U12" si="7">SUM(L6:L11)</f>
        <v>37827</v>
      </c>
      <c r="M12" s="137">
        <f t="shared" si="7"/>
        <v>31315</v>
      </c>
      <c r="N12" s="137">
        <f t="shared" si="7"/>
        <v>39091</v>
      </c>
      <c r="O12" s="137">
        <f t="shared" ref="O12" si="8">SUM(O6:O11)</f>
        <v>47253.944473356169</v>
      </c>
      <c r="P12" s="137">
        <f t="shared" ref="P12" si="9">SUM(P6:P11)</f>
        <v>48771.381872301368</v>
      </c>
      <c r="Q12" s="142">
        <f t="shared" si="7"/>
        <v>48771.381872301368</v>
      </c>
      <c r="R12" s="142">
        <f t="shared" si="7"/>
        <v>57729.108362805622</v>
      </c>
      <c r="S12" s="142">
        <f t="shared" si="7"/>
        <v>75958.997198272089</v>
      </c>
      <c r="T12" s="142">
        <f t="shared" si="7"/>
        <v>100835.45223667509</v>
      </c>
      <c r="U12" s="142">
        <f t="shared" si="7"/>
        <v>138792.06541054416</v>
      </c>
    </row>
    <row r="13" spans="1:22" ht="4.5" customHeight="1" x14ac:dyDescent="0.25">
      <c r="C13" s="66"/>
      <c r="D13" s="66"/>
      <c r="E13" s="66"/>
      <c r="F13" s="66"/>
      <c r="G13" s="66"/>
      <c r="H13" s="84"/>
      <c r="I13" s="128"/>
      <c r="J13" s="128"/>
      <c r="K13" s="85"/>
      <c r="L13" s="66"/>
      <c r="M13" s="138"/>
      <c r="N13" s="138"/>
      <c r="O13" s="138"/>
      <c r="P13" s="138"/>
      <c r="Q13" s="102"/>
      <c r="R13" s="143"/>
      <c r="S13" s="143"/>
      <c r="T13" s="143"/>
      <c r="U13" s="143"/>
    </row>
    <row r="14" spans="1:22" x14ac:dyDescent="0.25">
      <c r="A14" t="s">
        <v>91</v>
      </c>
      <c r="C14" s="100">
        <v>1605.5229999999999</v>
      </c>
      <c r="D14" s="100">
        <v>1817.8409999999999</v>
      </c>
      <c r="E14" s="100">
        <v>3161.924</v>
      </c>
      <c r="F14" s="100">
        <v>6709.7349999999997</v>
      </c>
      <c r="G14" s="100">
        <v>18679</v>
      </c>
      <c r="H14" s="145"/>
      <c r="I14" s="146"/>
      <c r="J14" s="146"/>
      <c r="K14" s="147"/>
      <c r="L14" s="144">
        <v>19303</v>
      </c>
      <c r="M14" s="126">
        <v>20082</v>
      </c>
      <c r="N14" s="126">
        <v>20815</v>
      </c>
      <c r="O14" s="133">
        <f>N14-CF!O25-CF!O6</f>
        <v>19684.024000000001</v>
      </c>
      <c r="P14" s="133">
        <f>O14-CF!P25-CF!P6</f>
        <v>18741.271000000001</v>
      </c>
      <c r="Q14" s="134">
        <f t="shared" ref="Q14:Q17" si="10">P14</f>
        <v>18741.271000000001</v>
      </c>
      <c r="R14" s="134">
        <f>Q14-CF!R25-CF!R6</f>
        <v>18941.183411999998</v>
      </c>
      <c r="S14" s="134">
        <f>R14-CF!S25-CF!S6</f>
        <v>18806.783140299998</v>
      </c>
      <c r="T14" s="134">
        <f>S14-CF!T25-CF!T6</f>
        <v>18806.783140299995</v>
      </c>
      <c r="U14" s="134">
        <f>T14-CF!U25-CF!U6</f>
        <v>17708.360488928498</v>
      </c>
      <c r="V14" s="39"/>
    </row>
    <row r="15" spans="1:22" x14ac:dyDescent="0.25">
      <c r="A15" t="s">
        <v>108</v>
      </c>
      <c r="C15" s="100">
        <v>0</v>
      </c>
      <c r="D15" s="100">
        <v>2099.7750000000001</v>
      </c>
      <c r="E15" s="100">
        <v>1082.9449999999999</v>
      </c>
      <c r="F15" s="100">
        <v>1035.1089999999999</v>
      </c>
      <c r="G15" s="100">
        <v>7519</v>
      </c>
      <c r="H15" s="124"/>
      <c r="I15" s="126"/>
      <c r="J15" s="126"/>
      <c r="K15" s="121"/>
      <c r="L15" s="100">
        <v>5972</v>
      </c>
      <c r="M15" s="126">
        <v>5588</v>
      </c>
      <c r="N15" s="126">
        <v>5200</v>
      </c>
      <c r="O15" s="133">
        <f>N15-(0.5*CF!O30)</f>
        <v>5200</v>
      </c>
      <c r="P15" s="133">
        <f>O15-(0.5*CF!P30)</f>
        <v>5200</v>
      </c>
      <c r="Q15" s="134">
        <f t="shared" si="10"/>
        <v>5200</v>
      </c>
      <c r="R15" s="134">
        <f>Q15-(0.5*CF!R30)</f>
        <v>5200</v>
      </c>
      <c r="S15" s="134">
        <f>R15-(0.5*CF!S30)</f>
        <v>5200</v>
      </c>
      <c r="T15" s="134">
        <f>S15-(0.5*CF!T30)</f>
        <v>5200</v>
      </c>
      <c r="U15" s="134">
        <f>T15-(0.5*CF!U30)</f>
        <v>5200</v>
      </c>
      <c r="V15" s="39"/>
    </row>
    <row r="16" spans="1:22" x14ac:dyDescent="0.25">
      <c r="A16" t="s">
        <v>109</v>
      </c>
      <c r="C16" s="100">
        <v>0</v>
      </c>
      <c r="D16" s="100">
        <v>371.88299999999998</v>
      </c>
      <c r="E16" s="100">
        <v>347.35</v>
      </c>
      <c r="F16" s="100">
        <v>372.89800000000002</v>
      </c>
      <c r="G16" s="100">
        <v>7255</v>
      </c>
      <c r="H16" s="124"/>
      <c r="I16" s="126"/>
      <c r="J16" s="126"/>
      <c r="K16" s="121"/>
      <c r="L16" s="100">
        <v>7258</v>
      </c>
      <c r="M16" s="126">
        <v>7263</v>
      </c>
      <c r="N16" s="126">
        <v>4497</v>
      </c>
      <c r="O16" s="133">
        <f>N16-(0.5*CF!O30)</f>
        <v>4497</v>
      </c>
      <c r="P16" s="133">
        <f>O16-(0.5*CF!P30)</f>
        <v>4497</v>
      </c>
      <c r="Q16" s="134">
        <f>P16</f>
        <v>4497</v>
      </c>
      <c r="R16" s="134">
        <f>Q16-(0.5*CF!R30)</f>
        <v>4497</v>
      </c>
      <c r="S16" s="134">
        <f>R16-(0.5*CF!S30)</f>
        <v>4497</v>
      </c>
      <c r="T16" s="134">
        <f>S16-(0.5*CF!T30)</f>
        <v>4497</v>
      </c>
      <c r="U16" s="134">
        <f>T16-(0.5*CF!U30)</f>
        <v>4497</v>
      </c>
      <c r="V16" s="39"/>
    </row>
    <row r="17" spans="1:26" x14ac:dyDescent="0.25">
      <c r="A17" t="s">
        <v>110</v>
      </c>
      <c r="C17" s="100">
        <f>154.183+9.491+30.53</f>
        <v>194.20399999999998</v>
      </c>
      <c r="D17" s="100">
        <v>0</v>
      </c>
      <c r="E17" s="100">
        <v>0</v>
      </c>
      <c r="F17" s="100">
        <v>1057.982</v>
      </c>
      <c r="G17" s="100">
        <v>0</v>
      </c>
      <c r="H17" s="124"/>
      <c r="I17" s="126"/>
      <c r="J17" s="126"/>
      <c r="K17" s="121"/>
      <c r="L17" s="100">
        <v>982</v>
      </c>
      <c r="M17" s="126">
        <v>972</v>
      </c>
      <c r="N17" s="126">
        <v>884</v>
      </c>
      <c r="O17" s="133">
        <f t="shared" ref="O17:U18" si="11">N17</f>
        <v>884</v>
      </c>
      <c r="P17" s="133">
        <f t="shared" si="11"/>
        <v>884</v>
      </c>
      <c r="Q17" s="134">
        <f t="shared" si="10"/>
        <v>884</v>
      </c>
      <c r="R17" s="134">
        <f t="shared" si="11"/>
        <v>884</v>
      </c>
      <c r="S17" s="134">
        <f t="shared" si="11"/>
        <v>884</v>
      </c>
      <c r="T17" s="134">
        <f t="shared" si="11"/>
        <v>884</v>
      </c>
      <c r="U17" s="134">
        <f t="shared" si="11"/>
        <v>884</v>
      </c>
      <c r="V17" s="39"/>
    </row>
    <row r="18" spans="1:26" x14ac:dyDescent="0.25">
      <c r="A18" t="s">
        <v>111</v>
      </c>
      <c r="C18" s="100">
        <v>0</v>
      </c>
      <c r="D18" s="100">
        <v>0</v>
      </c>
      <c r="E18" s="100">
        <v>0</v>
      </c>
      <c r="F18" s="100">
        <v>0</v>
      </c>
      <c r="G18" s="100">
        <v>288</v>
      </c>
      <c r="H18" s="124"/>
      <c r="I18" s="126"/>
      <c r="J18" s="126"/>
      <c r="K18" s="121"/>
      <c r="L18" s="100">
        <v>23</v>
      </c>
      <c r="M18" s="126">
        <v>17</v>
      </c>
      <c r="N18" s="126">
        <v>0</v>
      </c>
      <c r="O18" s="133">
        <f t="shared" si="11"/>
        <v>0</v>
      </c>
      <c r="P18" s="133">
        <f t="shared" si="11"/>
        <v>0</v>
      </c>
      <c r="Q18" s="134">
        <f t="shared" ref="Q18" si="12">P18</f>
        <v>0</v>
      </c>
      <c r="R18" s="134">
        <f t="shared" si="11"/>
        <v>0</v>
      </c>
      <c r="S18" s="134">
        <f t="shared" si="11"/>
        <v>0</v>
      </c>
      <c r="T18" s="134">
        <f t="shared" si="11"/>
        <v>0</v>
      </c>
      <c r="U18" s="134">
        <f t="shared" si="11"/>
        <v>0</v>
      </c>
      <c r="V18" s="39"/>
    </row>
    <row r="19" spans="1:26" x14ac:dyDescent="0.25">
      <c r="A19" s="2" t="s">
        <v>34</v>
      </c>
      <c r="C19" s="101">
        <f t="shared" ref="C19" si="13">SUM(C14:C18)+C12</f>
        <v>5258.1479999999992</v>
      </c>
      <c r="D19" s="101">
        <f t="shared" ref="D19" si="14">SUM(D14:D18)+D12</f>
        <v>14028.465</v>
      </c>
      <c r="E19" s="101">
        <f t="shared" ref="E19:U19" si="15">SUM(E14:E18)+E12</f>
        <v>18090.876</v>
      </c>
      <c r="F19" s="101">
        <f t="shared" si="15"/>
        <v>34820.073999999993</v>
      </c>
      <c r="G19" s="101">
        <f t="shared" si="15"/>
        <v>65465</v>
      </c>
      <c r="H19" s="125">
        <f t="shared" si="15"/>
        <v>0</v>
      </c>
      <c r="I19" s="127">
        <f t="shared" si="15"/>
        <v>0</v>
      </c>
      <c r="J19" s="127">
        <f t="shared" si="15"/>
        <v>0</v>
      </c>
      <c r="K19" s="122">
        <f t="shared" si="15"/>
        <v>0</v>
      </c>
      <c r="L19" s="101">
        <f t="shared" si="15"/>
        <v>71365</v>
      </c>
      <c r="M19" s="137">
        <f t="shared" si="15"/>
        <v>65237</v>
      </c>
      <c r="N19" s="137">
        <f t="shared" si="15"/>
        <v>70487</v>
      </c>
      <c r="O19" s="137">
        <f t="shared" ref="O19" si="16">SUM(O14:O18)+O12</f>
        <v>77518.968473356173</v>
      </c>
      <c r="P19" s="137">
        <f t="shared" ref="P19" si="17">SUM(P14:P18)+P12</f>
        <v>78093.652872301376</v>
      </c>
      <c r="Q19" s="142">
        <f t="shared" si="15"/>
        <v>78093.652872301376</v>
      </c>
      <c r="R19" s="142">
        <f t="shared" si="15"/>
        <v>87251.291774805621</v>
      </c>
      <c r="S19" s="142">
        <f t="shared" si="15"/>
        <v>105346.78033857209</v>
      </c>
      <c r="T19" s="142">
        <f t="shared" si="15"/>
        <v>130223.23537697509</v>
      </c>
      <c r="U19" s="142">
        <f t="shared" si="15"/>
        <v>167081.42589947267</v>
      </c>
      <c r="V19" s="20"/>
    </row>
    <row r="20" spans="1:26" ht="4.5" customHeight="1" x14ac:dyDescent="0.25">
      <c r="C20" s="66"/>
      <c r="D20" s="66"/>
      <c r="E20" s="66"/>
      <c r="F20" s="66"/>
      <c r="G20" s="66"/>
      <c r="H20" s="84"/>
      <c r="I20" s="128"/>
      <c r="J20" s="128"/>
      <c r="K20" s="85"/>
      <c r="L20" s="66"/>
      <c r="M20" s="138"/>
      <c r="N20" s="138"/>
      <c r="O20" s="138"/>
      <c r="P20" s="138"/>
      <c r="Q20" s="102"/>
      <c r="R20" s="143"/>
      <c r="S20" s="143"/>
      <c r="T20" s="143"/>
      <c r="U20" s="143"/>
    </row>
    <row r="21" spans="1:26" x14ac:dyDescent="0.25">
      <c r="A21" s="11" t="s">
        <v>35</v>
      </c>
      <c r="C21" s="66"/>
      <c r="D21" s="66"/>
      <c r="E21" s="66"/>
      <c r="F21" s="66"/>
      <c r="G21" s="66"/>
      <c r="H21" s="84"/>
      <c r="I21" s="128"/>
      <c r="J21" s="128"/>
      <c r="K21" s="85"/>
      <c r="L21" s="66"/>
      <c r="M21" s="138"/>
      <c r="N21" s="138"/>
      <c r="O21" s="138"/>
      <c r="P21" s="138"/>
      <c r="Q21" s="102"/>
      <c r="R21" s="143"/>
      <c r="S21" s="143"/>
      <c r="T21" s="143"/>
      <c r="U21" s="143"/>
    </row>
    <row r="22" spans="1:26" x14ac:dyDescent="0.25">
      <c r="A22" s="2" t="s">
        <v>36</v>
      </c>
      <c r="C22" s="100"/>
      <c r="D22" s="100"/>
      <c r="E22" s="100"/>
      <c r="F22" s="100"/>
      <c r="G22" s="100"/>
      <c r="H22" s="124"/>
      <c r="I22" s="126"/>
      <c r="J22" s="126"/>
      <c r="K22" s="121"/>
      <c r="L22" s="100"/>
      <c r="M22" s="138"/>
      <c r="N22" s="138"/>
      <c r="O22" s="138"/>
      <c r="P22" s="138"/>
      <c r="Q22" s="102"/>
      <c r="R22" s="143"/>
      <c r="S22" s="143"/>
      <c r="T22" s="143"/>
      <c r="U22" s="143"/>
      <c r="V22" s="18"/>
    </row>
    <row r="23" spans="1:26" x14ac:dyDescent="0.25">
      <c r="A23" t="s">
        <v>46</v>
      </c>
      <c r="C23" s="100">
        <v>3905.0219999999999</v>
      </c>
      <c r="D23" s="100">
        <v>1894.778</v>
      </c>
      <c r="E23" s="100">
        <v>3620.4430000000002</v>
      </c>
      <c r="F23" s="100">
        <v>4698.9629999999997</v>
      </c>
      <c r="G23" s="100">
        <v>10666</v>
      </c>
      <c r="H23" s="124"/>
      <c r="I23" s="126"/>
      <c r="J23" s="126"/>
      <c r="K23" s="121"/>
      <c r="L23" s="100">
        <v>11220</v>
      </c>
      <c r="M23" s="126">
        <v>9721</v>
      </c>
      <c r="N23" s="126">
        <v>8788</v>
      </c>
      <c r="O23" s="133">
        <f t="shared" ref="O23" si="18">O57</f>
        <v>13881.568438356164</v>
      </c>
      <c r="P23" s="133">
        <f t="shared" ref="P23" si="19">P57</f>
        <v>13086.616986301367</v>
      </c>
      <c r="Q23" s="134">
        <f t="shared" ref="Q23:Q29" si="20">P23</f>
        <v>13086.616986301367</v>
      </c>
      <c r="R23" s="134">
        <f t="shared" ref="R23:U23" si="21">R57</f>
        <v>14048.639363835615</v>
      </c>
      <c r="S23" s="134">
        <f t="shared" si="21"/>
        <v>16901.294441178081</v>
      </c>
      <c r="T23" s="134">
        <f t="shared" si="21"/>
        <v>18056.262762271228</v>
      </c>
      <c r="U23" s="134">
        <f t="shared" si="21"/>
        <v>22750.891080461755</v>
      </c>
      <c r="V23" s="18"/>
    </row>
    <row r="24" spans="1:26" x14ac:dyDescent="0.25">
      <c r="A24" t="s">
        <v>112</v>
      </c>
      <c r="C24" s="100">
        <v>491.26600000000002</v>
      </c>
      <c r="D24" s="100">
        <v>2920.8119999999999</v>
      </c>
      <c r="E24" s="100">
        <v>2445.223</v>
      </c>
      <c r="F24" s="100">
        <v>8761.4770000000008</v>
      </c>
      <c r="G24" s="100">
        <v>4639</v>
      </c>
      <c r="H24" s="124"/>
      <c r="I24" s="126"/>
      <c r="J24" s="126"/>
      <c r="K24" s="121"/>
      <c r="L24" s="100">
        <v>11817</v>
      </c>
      <c r="M24" s="126">
        <v>11902</v>
      </c>
      <c r="N24" s="126">
        <v>20488</v>
      </c>
      <c r="O24" s="133">
        <f t="shared" ref="O24:U29" si="22">N24</f>
        <v>20488</v>
      </c>
      <c r="P24" s="133">
        <f t="shared" si="22"/>
        <v>20488</v>
      </c>
      <c r="Q24" s="134">
        <f t="shared" si="20"/>
        <v>20488</v>
      </c>
      <c r="R24" s="134">
        <f t="shared" si="22"/>
        <v>20488</v>
      </c>
      <c r="S24" s="134">
        <f t="shared" si="22"/>
        <v>20488</v>
      </c>
      <c r="T24" s="134">
        <f t="shared" si="22"/>
        <v>20488</v>
      </c>
      <c r="U24" s="134">
        <f t="shared" si="22"/>
        <v>20488</v>
      </c>
      <c r="V24" s="18"/>
      <c r="X24" s="31"/>
    </row>
    <row r="25" spans="1:26" x14ac:dyDescent="0.25">
      <c r="A25" t="s">
        <v>104</v>
      </c>
      <c r="C25" s="100">
        <v>0</v>
      </c>
      <c r="D25" s="100">
        <v>0</v>
      </c>
      <c r="E25" s="100">
        <v>4.8819999999999997</v>
      </c>
      <c r="F25" s="100">
        <v>0</v>
      </c>
      <c r="G25" s="100">
        <v>51</v>
      </c>
      <c r="H25" s="124"/>
      <c r="I25" s="126"/>
      <c r="J25" s="126"/>
      <c r="K25" s="121"/>
      <c r="L25" s="100">
        <v>20</v>
      </c>
      <c r="M25" s="126">
        <v>83</v>
      </c>
      <c r="N25" s="126">
        <v>223</v>
      </c>
      <c r="O25" s="133">
        <f t="shared" si="22"/>
        <v>223</v>
      </c>
      <c r="P25" s="133">
        <f t="shared" si="22"/>
        <v>223</v>
      </c>
      <c r="Q25" s="134">
        <f t="shared" si="20"/>
        <v>223</v>
      </c>
      <c r="R25" s="134">
        <f t="shared" si="22"/>
        <v>223</v>
      </c>
      <c r="S25" s="134">
        <f t="shared" si="22"/>
        <v>223</v>
      </c>
      <c r="T25" s="134">
        <f t="shared" si="22"/>
        <v>223</v>
      </c>
      <c r="U25" s="134">
        <f t="shared" si="22"/>
        <v>223</v>
      </c>
      <c r="V25" s="18"/>
    </row>
    <row r="26" spans="1:26" x14ac:dyDescent="0.25">
      <c r="A26" t="s">
        <v>120</v>
      </c>
      <c r="C26" s="100">
        <v>326.44799999999998</v>
      </c>
      <c r="D26" s="100">
        <v>0</v>
      </c>
      <c r="E26" s="100">
        <v>0</v>
      </c>
      <c r="F26" s="100">
        <v>709.09799999999996</v>
      </c>
      <c r="G26" s="100">
        <v>4943</v>
      </c>
      <c r="H26" s="124"/>
      <c r="I26" s="126"/>
      <c r="J26" s="126"/>
      <c r="K26" s="121"/>
      <c r="L26" s="100">
        <v>6366</v>
      </c>
      <c r="M26" s="126">
        <v>5159</v>
      </c>
      <c r="N26" s="126">
        <v>5205</v>
      </c>
      <c r="O26" s="133">
        <f t="shared" ref="O26:U26" si="23">N26</f>
        <v>5205</v>
      </c>
      <c r="P26" s="133">
        <f t="shared" si="23"/>
        <v>5205</v>
      </c>
      <c r="Q26" s="134">
        <f t="shared" si="23"/>
        <v>5205</v>
      </c>
      <c r="R26" s="134">
        <f t="shared" si="23"/>
        <v>5205</v>
      </c>
      <c r="S26" s="134">
        <f t="shared" si="23"/>
        <v>5205</v>
      </c>
      <c r="T26" s="134">
        <f t="shared" si="23"/>
        <v>5205</v>
      </c>
      <c r="U26" s="134">
        <f t="shared" si="23"/>
        <v>5205</v>
      </c>
      <c r="V26" s="18"/>
    </row>
    <row r="27" spans="1:26" x14ac:dyDescent="0.25">
      <c r="A27" t="s">
        <v>113</v>
      </c>
      <c r="C27" s="100">
        <v>0</v>
      </c>
      <c r="D27" s="100">
        <v>0</v>
      </c>
      <c r="E27" s="100">
        <v>0</v>
      </c>
      <c r="F27" s="100">
        <v>22.367999999999999</v>
      </c>
      <c r="G27" s="100">
        <v>231</v>
      </c>
      <c r="H27" s="124"/>
      <c r="I27" s="126"/>
      <c r="J27" s="126"/>
      <c r="K27" s="121"/>
      <c r="L27" s="100">
        <v>5086</v>
      </c>
      <c r="M27" s="126">
        <v>4928</v>
      </c>
      <c r="N27" s="126">
        <v>4717</v>
      </c>
      <c r="O27" s="133">
        <f t="shared" ref="O27:U28" si="24">N27</f>
        <v>4717</v>
      </c>
      <c r="P27" s="133">
        <f t="shared" si="24"/>
        <v>4717</v>
      </c>
      <c r="Q27" s="134">
        <f t="shared" ref="Q27:Q28" si="25">P27</f>
        <v>4717</v>
      </c>
      <c r="R27" s="134">
        <f t="shared" si="24"/>
        <v>4717</v>
      </c>
      <c r="S27" s="134">
        <f t="shared" si="24"/>
        <v>4717</v>
      </c>
      <c r="T27" s="134">
        <f t="shared" si="24"/>
        <v>4717</v>
      </c>
      <c r="U27" s="134">
        <f t="shared" si="24"/>
        <v>4717</v>
      </c>
      <c r="V27" s="18"/>
    </row>
    <row r="28" spans="1:26" x14ac:dyDescent="0.25">
      <c r="A28" t="s">
        <v>114</v>
      </c>
      <c r="C28" s="100">
        <v>0</v>
      </c>
      <c r="D28" s="100">
        <v>0</v>
      </c>
      <c r="E28" s="100">
        <v>191.63</v>
      </c>
      <c r="F28" s="100">
        <v>504.27699999999999</v>
      </c>
      <c r="G28" s="100">
        <v>991</v>
      </c>
      <c r="H28" s="124"/>
      <c r="I28" s="126"/>
      <c r="J28" s="126"/>
      <c r="K28" s="121"/>
      <c r="L28" s="100">
        <v>853</v>
      </c>
      <c r="M28" s="126">
        <v>797</v>
      </c>
      <c r="N28" s="126">
        <v>805</v>
      </c>
      <c r="O28" s="133">
        <f t="shared" si="24"/>
        <v>805</v>
      </c>
      <c r="P28" s="133">
        <f t="shared" si="24"/>
        <v>805</v>
      </c>
      <c r="Q28" s="134">
        <f t="shared" si="25"/>
        <v>805</v>
      </c>
      <c r="R28" s="134">
        <f t="shared" si="24"/>
        <v>805</v>
      </c>
      <c r="S28" s="134">
        <f t="shared" si="24"/>
        <v>805</v>
      </c>
      <c r="T28" s="134">
        <f t="shared" si="24"/>
        <v>805</v>
      </c>
      <c r="U28" s="134">
        <f t="shared" si="24"/>
        <v>805</v>
      </c>
      <c r="V28" s="18"/>
    </row>
    <row r="29" spans="1:26" x14ac:dyDescent="0.25">
      <c r="A29" t="s">
        <v>115</v>
      </c>
      <c r="C29" s="100">
        <v>0</v>
      </c>
      <c r="D29" s="100">
        <v>0</v>
      </c>
      <c r="E29" s="100">
        <v>0</v>
      </c>
      <c r="F29" s="100">
        <v>0</v>
      </c>
      <c r="G29" s="100">
        <v>3837</v>
      </c>
      <c r="H29" s="124"/>
      <c r="I29" s="126"/>
      <c r="J29" s="126"/>
      <c r="K29" s="121"/>
      <c r="L29" s="100">
        <v>4500</v>
      </c>
      <c r="M29" s="126">
        <v>4044</v>
      </c>
      <c r="N29" s="126">
        <v>0</v>
      </c>
      <c r="O29" s="133">
        <f t="shared" si="22"/>
        <v>0</v>
      </c>
      <c r="P29" s="133">
        <f t="shared" si="22"/>
        <v>0</v>
      </c>
      <c r="Q29" s="134">
        <f t="shared" si="20"/>
        <v>0</v>
      </c>
      <c r="R29" s="134">
        <f t="shared" si="22"/>
        <v>0</v>
      </c>
      <c r="S29" s="134">
        <f t="shared" si="22"/>
        <v>0</v>
      </c>
      <c r="T29" s="134">
        <f t="shared" si="22"/>
        <v>0</v>
      </c>
      <c r="U29" s="134">
        <f t="shared" si="22"/>
        <v>0</v>
      </c>
      <c r="V29" s="20"/>
    </row>
    <row r="30" spans="1:26" x14ac:dyDescent="0.25">
      <c r="A30" s="2" t="s">
        <v>37</v>
      </c>
      <c r="C30" s="101">
        <f>SUM(C23:C29)</f>
        <v>4722.7359999999999</v>
      </c>
      <c r="D30" s="101">
        <f>SUM(D23:D29)</f>
        <v>4815.59</v>
      </c>
      <c r="E30" s="101">
        <f>SUM(E23:E29)</f>
        <v>6262.1779999999999</v>
      </c>
      <c r="F30" s="101">
        <f>SUM(F23:F29)</f>
        <v>14696.183000000001</v>
      </c>
      <c r="G30" s="101">
        <f>SUM(G23:G29)</f>
        <v>25358</v>
      </c>
      <c r="H30" s="125"/>
      <c r="I30" s="127"/>
      <c r="J30" s="127"/>
      <c r="K30" s="122"/>
      <c r="L30" s="101">
        <f t="shared" ref="L30:Q30" si="26">SUM(L23:L29)</f>
        <v>39862</v>
      </c>
      <c r="M30" s="137">
        <f t="shared" si="26"/>
        <v>36634</v>
      </c>
      <c r="N30" s="137">
        <f t="shared" si="26"/>
        <v>40226</v>
      </c>
      <c r="O30" s="137">
        <f t="shared" si="26"/>
        <v>45319.56843835616</v>
      </c>
      <c r="P30" s="137">
        <f t="shared" si="26"/>
        <v>44524.616986301364</v>
      </c>
      <c r="Q30" s="142">
        <f t="shared" si="26"/>
        <v>44524.616986301364</v>
      </c>
      <c r="R30" s="142">
        <f t="shared" ref="R30:U30" si="27">SUM(R23:R29)</f>
        <v>45486.639363835617</v>
      </c>
      <c r="S30" s="142">
        <f t="shared" si="27"/>
        <v>48339.294441178077</v>
      </c>
      <c r="T30" s="142">
        <f t="shared" si="27"/>
        <v>49494.262762271232</v>
      </c>
      <c r="U30" s="142">
        <f t="shared" si="27"/>
        <v>54188.891080461755</v>
      </c>
    </row>
    <row r="31" spans="1:26" ht="7.15" customHeight="1" x14ac:dyDescent="0.25">
      <c r="A31" s="2"/>
      <c r="C31" s="66"/>
      <c r="D31" s="66"/>
      <c r="E31" s="66"/>
      <c r="F31" s="66"/>
      <c r="G31" s="66"/>
      <c r="H31" s="84"/>
      <c r="I31" s="128"/>
      <c r="J31" s="128"/>
      <c r="K31" s="85"/>
      <c r="L31" s="66"/>
      <c r="M31" s="138"/>
      <c r="N31" s="138"/>
      <c r="O31" s="104"/>
      <c r="P31" s="104"/>
      <c r="Q31" s="102"/>
      <c r="R31" s="102"/>
      <c r="S31" s="102"/>
      <c r="T31" s="102"/>
      <c r="U31" s="102"/>
      <c r="Z31" s="157"/>
    </row>
    <row r="32" spans="1:26" x14ac:dyDescent="0.25">
      <c r="A32" t="s">
        <v>96</v>
      </c>
      <c r="C32" s="100">
        <v>0</v>
      </c>
      <c r="D32" s="100">
        <v>529.28099999999995</v>
      </c>
      <c r="E32" s="100">
        <v>426</v>
      </c>
      <c r="F32" s="100">
        <v>332.7</v>
      </c>
      <c r="G32" s="100">
        <v>134</v>
      </c>
      <c r="H32" s="124"/>
      <c r="I32" s="126"/>
      <c r="J32" s="126"/>
      <c r="K32" s="121"/>
      <c r="L32" s="100">
        <v>0</v>
      </c>
      <c r="M32" s="126">
        <v>0</v>
      </c>
      <c r="N32" s="126">
        <v>0</v>
      </c>
      <c r="O32" s="133">
        <f t="shared" ref="O32:U34" si="28">N32</f>
        <v>0</v>
      </c>
      <c r="P32" s="133">
        <f t="shared" si="28"/>
        <v>0</v>
      </c>
      <c r="Q32" s="134">
        <f t="shared" ref="Q32:Q35" si="29">P32</f>
        <v>0</v>
      </c>
      <c r="R32" s="134">
        <f t="shared" si="28"/>
        <v>0</v>
      </c>
      <c r="S32" s="134">
        <f t="shared" si="28"/>
        <v>0</v>
      </c>
      <c r="T32" s="134">
        <f t="shared" si="28"/>
        <v>0</v>
      </c>
      <c r="U32" s="134">
        <f t="shared" si="28"/>
        <v>0</v>
      </c>
    </row>
    <row r="33" spans="1:22" x14ac:dyDescent="0.25">
      <c r="A33" t="s">
        <v>116</v>
      </c>
      <c r="C33" s="100">
        <v>0</v>
      </c>
      <c r="D33" s="100">
        <v>0</v>
      </c>
      <c r="E33" s="100">
        <v>0</v>
      </c>
      <c r="F33" s="100">
        <v>0</v>
      </c>
      <c r="G33" s="100">
        <v>3270</v>
      </c>
      <c r="H33" s="124"/>
      <c r="I33" s="126"/>
      <c r="J33" s="126"/>
      <c r="K33" s="121"/>
      <c r="L33" s="100">
        <v>3888</v>
      </c>
      <c r="M33" s="126">
        <v>0</v>
      </c>
      <c r="N33" s="126">
        <v>0</v>
      </c>
      <c r="O33" s="133">
        <f t="shared" si="28"/>
        <v>0</v>
      </c>
      <c r="P33" s="133">
        <f t="shared" si="28"/>
        <v>0</v>
      </c>
      <c r="Q33" s="134">
        <f t="shared" si="29"/>
        <v>0</v>
      </c>
      <c r="R33" s="134">
        <f t="shared" si="28"/>
        <v>0</v>
      </c>
      <c r="S33" s="134">
        <f t="shared" si="28"/>
        <v>0</v>
      </c>
      <c r="T33" s="134">
        <f t="shared" si="28"/>
        <v>0</v>
      </c>
      <c r="U33" s="134">
        <f t="shared" si="28"/>
        <v>0</v>
      </c>
    </row>
    <row r="34" spans="1:22" x14ac:dyDescent="0.25">
      <c r="A34" t="s">
        <v>92</v>
      </c>
      <c r="C34" s="100">
        <v>0</v>
      </c>
      <c r="D34" s="100">
        <v>0</v>
      </c>
      <c r="E34" s="100">
        <v>1347.0060000000001</v>
      </c>
      <c r="F34" s="100">
        <v>3133.2759999999998</v>
      </c>
      <c r="G34" s="100">
        <v>3586</v>
      </c>
      <c r="H34" s="124"/>
      <c r="I34" s="126"/>
      <c r="J34" s="126"/>
      <c r="K34" s="121"/>
      <c r="L34" s="100">
        <v>3022</v>
      </c>
      <c r="M34" s="126">
        <v>2866</v>
      </c>
      <c r="N34" s="126">
        <v>2796</v>
      </c>
      <c r="O34" s="133">
        <f t="shared" si="28"/>
        <v>2796</v>
      </c>
      <c r="P34" s="133">
        <f t="shared" si="28"/>
        <v>2796</v>
      </c>
      <c r="Q34" s="134">
        <f t="shared" si="29"/>
        <v>2796</v>
      </c>
      <c r="R34" s="134">
        <f t="shared" si="28"/>
        <v>2796</v>
      </c>
      <c r="S34" s="134">
        <f t="shared" si="28"/>
        <v>2796</v>
      </c>
      <c r="T34" s="134">
        <f t="shared" si="28"/>
        <v>2796</v>
      </c>
      <c r="U34" s="134">
        <f t="shared" si="28"/>
        <v>2796</v>
      </c>
    </row>
    <row r="35" spans="1:22" x14ac:dyDescent="0.25">
      <c r="A35" t="s">
        <v>95</v>
      </c>
      <c r="C35" s="100">
        <v>0</v>
      </c>
      <c r="D35" s="100">
        <v>386.15899999999999</v>
      </c>
      <c r="E35" s="100">
        <v>392.37400000000002</v>
      </c>
      <c r="F35" s="100">
        <v>646.49199999999996</v>
      </c>
      <c r="G35" s="100">
        <v>5514</v>
      </c>
      <c r="H35" s="124"/>
      <c r="I35" s="126"/>
      <c r="J35" s="126"/>
      <c r="K35" s="121"/>
      <c r="L35" s="100">
        <v>938</v>
      </c>
      <c r="M35" s="126">
        <v>977</v>
      </c>
      <c r="N35" s="126">
        <v>638</v>
      </c>
      <c r="O35" s="133">
        <f>CF!O35+CF!O36+CF!O37+N35</f>
        <v>638</v>
      </c>
      <c r="P35" s="133">
        <f>CF!P35+CF!P36+CF!P37+O35</f>
        <v>638</v>
      </c>
      <c r="Q35" s="134">
        <f t="shared" si="29"/>
        <v>638</v>
      </c>
      <c r="R35" s="134">
        <f>CF!R35+CF!R36+CF!R37+Q35</f>
        <v>638</v>
      </c>
      <c r="S35" s="134">
        <f>CF!S35+CF!S36+CF!S37+R35</f>
        <v>638</v>
      </c>
      <c r="T35" s="134">
        <f>CF!T35+CF!T36+CF!T37+S35</f>
        <v>638</v>
      </c>
      <c r="U35" s="134">
        <f>CF!U35+CF!U36+CF!U37+T35</f>
        <v>638</v>
      </c>
      <c r="V35" s="20"/>
    </row>
    <row r="36" spans="1:22" x14ac:dyDescent="0.25">
      <c r="A36" s="2" t="s">
        <v>38</v>
      </c>
      <c r="C36" s="101">
        <f>SUM(C32:C35)+C30</f>
        <v>4722.7359999999999</v>
      </c>
      <c r="D36" s="101">
        <f>SUM(D32:D35)+D30</f>
        <v>5731.03</v>
      </c>
      <c r="E36" s="101">
        <f>SUM(E32:E35)+E30</f>
        <v>8427.5580000000009</v>
      </c>
      <c r="F36" s="101">
        <f>SUM(F32:F35)+F30</f>
        <v>18808.651000000002</v>
      </c>
      <c r="G36" s="101">
        <f>SUM(G32:G35)+G30</f>
        <v>37862</v>
      </c>
      <c r="H36" s="125"/>
      <c r="I36" s="127"/>
      <c r="J36" s="127"/>
      <c r="K36" s="122"/>
      <c r="L36" s="101">
        <f t="shared" ref="L36:Q36" si="30">SUM(L32:L35)+L30</f>
        <v>47710</v>
      </c>
      <c r="M36" s="137">
        <f t="shared" si="30"/>
        <v>40477</v>
      </c>
      <c r="N36" s="137">
        <f t="shared" ref="N36" si="31">SUM(N32:N35)+N30</f>
        <v>43660</v>
      </c>
      <c r="O36" s="137">
        <f t="shared" si="30"/>
        <v>48753.56843835616</v>
      </c>
      <c r="P36" s="137">
        <f t="shared" si="30"/>
        <v>47958.616986301364</v>
      </c>
      <c r="Q36" s="142">
        <f t="shared" si="30"/>
        <v>47958.616986301364</v>
      </c>
      <c r="R36" s="142">
        <f t="shared" ref="R36:U36" si="32">SUM(R32:R35)+R30</f>
        <v>48920.639363835617</v>
      </c>
      <c r="S36" s="142">
        <f t="shared" si="32"/>
        <v>51773.294441178077</v>
      </c>
      <c r="T36" s="142">
        <f t="shared" si="32"/>
        <v>52928.262762271232</v>
      </c>
      <c r="U36" s="142">
        <f t="shared" si="32"/>
        <v>57622.891080461755</v>
      </c>
    </row>
    <row r="37" spans="1:22" ht="4.9000000000000004" customHeight="1" x14ac:dyDescent="0.25">
      <c r="A37" s="2"/>
      <c r="C37" s="100"/>
      <c r="D37" s="100"/>
      <c r="E37" s="100"/>
      <c r="F37" s="100"/>
      <c r="G37" s="100"/>
      <c r="H37" s="124"/>
      <c r="I37" s="126"/>
      <c r="J37" s="126"/>
      <c r="K37" s="121"/>
      <c r="L37" s="100"/>
      <c r="M37" s="138"/>
      <c r="N37" s="138"/>
      <c r="O37" s="104"/>
      <c r="P37" s="104"/>
      <c r="Q37" s="102"/>
      <c r="R37" s="102"/>
      <c r="S37" s="102"/>
      <c r="T37" s="102"/>
      <c r="U37" s="102"/>
    </row>
    <row r="38" spans="1:22" x14ac:dyDescent="0.25">
      <c r="A38" t="s">
        <v>47</v>
      </c>
      <c r="C38" s="100">
        <v>6008.3469999999998</v>
      </c>
      <c r="D38" s="100">
        <v>18166.572</v>
      </c>
      <c r="E38" s="100">
        <v>22594.846000000001</v>
      </c>
      <c r="F38" s="100">
        <v>33939.262000000002</v>
      </c>
      <c r="G38" s="100">
        <v>47416</v>
      </c>
      <c r="H38" s="124"/>
      <c r="I38" s="126"/>
      <c r="J38" s="126"/>
      <c r="K38" s="121"/>
      <c r="L38" s="100">
        <v>48839</v>
      </c>
      <c r="M38" s="126">
        <v>51108</v>
      </c>
      <c r="N38" s="126">
        <v>51146</v>
      </c>
      <c r="O38" s="133">
        <f>CF!O38+N38</f>
        <v>51146</v>
      </c>
      <c r="P38" s="133">
        <f>CF!P38+O38</f>
        <v>51146</v>
      </c>
      <c r="Q38" s="134">
        <f t="shared" ref="Q38:Q41" si="33">P38</f>
        <v>51146</v>
      </c>
      <c r="R38" s="134">
        <f>CF!R38+Q38</f>
        <v>51146</v>
      </c>
      <c r="S38" s="134">
        <f>CF!S38+R38</f>
        <v>51146</v>
      </c>
      <c r="T38" s="134">
        <f>CF!T38+S38</f>
        <v>51146</v>
      </c>
      <c r="U38" s="134">
        <f>CF!U38+T38</f>
        <v>51146</v>
      </c>
    </row>
    <row r="39" spans="1:22" x14ac:dyDescent="0.25">
      <c r="A39" t="s">
        <v>117</v>
      </c>
      <c r="C39" s="100">
        <v>2157.8029999999999</v>
      </c>
      <c r="D39" s="100">
        <v>1774.2639999999999</v>
      </c>
      <c r="E39" s="100">
        <v>2220.924</v>
      </c>
      <c r="F39" s="100">
        <v>2516.143</v>
      </c>
      <c r="G39" s="100">
        <v>3191</v>
      </c>
      <c r="H39" s="124"/>
      <c r="I39" s="126"/>
      <c r="J39" s="126"/>
      <c r="K39" s="121"/>
      <c r="L39" s="100">
        <v>2700</v>
      </c>
      <c r="M39" s="126">
        <v>2856</v>
      </c>
      <c r="N39" s="126">
        <v>2940</v>
      </c>
      <c r="O39" s="133">
        <f t="shared" ref="O39:U39" si="34">N39</f>
        <v>2940</v>
      </c>
      <c r="P39" s="133">
        <f t="shared" si="34"/>
        <v>2940</v>
      </c>
      <c r="Q39" s="134">
        <f t="shared" si="33"/>
        <v>2940</v>
      </c>
      <c r="R39" s="134">
        <f t="shared" si="34"/>
        <v>2940</v>
      </c>
      <c r="S39" s="134">
        <f t="shared" si="34"/>
        <v>2940</v>
      </c>
      <c r="T39" s="134">
        <f t="shared" si="34"/>
        <v>2940</v>
      </c>
      <c r="U39" s="134">
        <f t="shared" si="34"/>
        <v>2940</v>
      </c>
    </row>
    <row r="40" spans="1:22" x14ac:dyDescent="0.25">
      <c r="A40" t="s">
        <v>118</v>
      </c>
      <c r="C40" s="100">
        <v>-271.50099999999998</v>
      </c>
      <c r="D40" s="100">
        <f>331.395-322.464</f>
        <v>8.9309999999999832</v>
      </c>
      <c r="E40" s="100">
        <v>-363.03100000000001</v>
      </c>
      <c r="F40" s="100">
        <v>-119.628</v>
      </c>
      <c r="G40" s="100">
        <v>85</v>
      </c>
      <c r="H40" s="124"/>
      <c r="I40" s="126"/>
      <c r="J40" s="126"/>
      <c r="K40" s="121"/>
      <c r="L40" s="100">
        <v>-552</v>
      </c>
      <c r="M40" s="126">
        <v>-536</v>
      </c>
      <c r="N40" s="126">
        <v>-588</v>
      </c>
      <c r="O40" s="133">
        <f t="shared" ref="O40:U40" si="35">N40</f>
        <v>-588</v>
      </c>
      <c r="P40" s="133">
        <f t="shared" si="35"/>
        <v>-588</v>
      </c>
      <c r="Q40" s="134">
        <f t="shared" si="35"/>
        <v>-588</v>
      </c>
      <c r="R40" s="134">
        <f t="shared" si="35"/>
        <v>-588</v>
      </c>
      <c r="S40" s="134">
        <f t="shared" si="35"/>
        <v>-588</v>
      </c>
      <c r="T40" s="134">
        <f t="shared" si="35"/>
        <v>-588</v>
      </c>
      <c r="U40" s="134">
        <f t="shared" si="35"/>
        <v>-588</v>
      </c>
    </row>
    <row r="41" spans="1:22" x14ac:dyDescent="0.25">
      <c r="A41" t="s">
        <v>119</v>
      </c>
      <c r="C41" s="100">
        <v>-7359.2370000000001</v>
      </c>
      <c r="D41" s="100">
        <v>-11652.332</v>
      </c>
      <c r="E41" s="100">
        <v>-14789.421</v>
      </c>
      <c r="F41" s="100">
        <v>-20324.353999999999</v>
      </c>
      <c r="G41" s="100">
        <v>-23089</v>
      </c>
      <c r="H41" s="124"/>
      <c r="I41" s="126"/>
      <c r="J41" s="126"/>
      <c r="K41" s="121"/>
      <c r="L41" s="100">
        <v>-27332</v>
      </c>
      <c r="M41" s="126">
        <v>-28668</v>
      </c>
      <c r="N41" s="126">
        <v>-26671</v>
      </c>
      <c r="O41" s="133">
        <f>N41+IS!O55+CF!O7+CF!O39</f>
        <v>-24732.599965000001</v>
      </c>
      <c r="P41" s="133">
        <f>O41+IS!P55+CF!P7+CF!P39</f>
        <v>-23362.964113999999</v>
      </c>
      <c r="Q41" s="134">
        <f t="shared" si="33"/>
        <v>-23362.964113999999</v>
      </c>
      <c r="R41" s="134">
        <f>Q41+IS!R55+CF!R7+CF!R39</f>
        <v>-15167.347589030001</v>
      </c>
      <c r="S41" s="134">
        <f>R41+IS!S55+CF!S7+CF!S39</f>
        <v>75.485897394006088</v>
      </c>
      <c r="T41" s="134">
        <f>S41+IS!T55+CF!T7+CF!T39</f>
        <v>23796.972614703864</v>
      </c>
      <c r="U41" s="134">
        <f>T41+IS!U55+CF!U7+CF!U39</f>
        <v>55960.534819010914</v>
      </c>
    </row>
    <row r="42" spans="1:22" x14ac:dyDescent="0.25">
      <c r="A42" s="2" t="s">
        <v>39</v>
      </c>
      <c r="C42" s="101">
        <f>SUM(C38:C41)</f>
        <v>535.41199999999935</v>
      </c>
      <c r="D42" s="101">
        <f>SUM(D38:D41)</f>
        <v>8297.4349999999995</v>
      </c>
      <c r="E42" s="101">
        <f>SUM(E38:E41)</f>
        <v>9663.3180000000011</v>
      </c>
      <c r="F42" s="101">
        <f>SUM(F38:F41)</f>
        <v>16011.423000000003</v>
      </c>
      <c r="G42" s="101">
        <f>SUM(G38:G41)</f>
        <v>27603</v>
      </c>
      <c r="H42" s="125"/>
      <c r="I42" s="127"/>
      <c r="J42" s="127"/>
      <c r="K42" s="122"/>
      <c r="L42" s="101">
        <f t="shared" ref="L42:Q42" si="36">SUM(L38:L41)</f>
        <v>23655</v>
      </c>
      <c r="M42" s="137">
        <f t="shared" si="36"/>
        <v>24760</v>
      </c>
      <c r="N42" s="137">
        <f t="shared" si="36"/>
        <v>26827</v>
      </c>
      <c r="O42" s="127">
        <f t="shared" si="36"/>
        <v>28765.400034999999</v>
      </c>
      <c r="P42" s="127">
        <f t="shared" si="36"/>
        <v>30135.035886000001</v>
      </c>
      <c r="Q42" s="101">
        <f t="shared" si="36"/>
        <v>30135.035886000001</v>
      </c>
      <c r="R42" s="101">
        <f t="shared" ref="R42:U42" si="37">SUM(R38:R41)</f>
        <v>38330.652410969997</v>
      </c>
      <c r="S42" s="101">
        <f t="shared" si="37"/>
        <v>53573.485897394006</v>
      </c>
      <c r="T42" s="101">
        <f t="shared" si="37"/>
        <v>77294.97261470386</v>
      </c>
      <c r="U42" s="101">
        <f t="shared" si="37"/>
        <v>109458.53481901091</v>
      </c>
    </row>
    <row r="43" spans="1:22" ht="14.45" customHeight="1" x14ac:dyDescent="0.25">
      <c r="A43" t="s">
        <v>100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26"/>
      <c r="N43" s="126"/>
      <c r="O43" s="133"/>
      <c r="P43" s="133"/>
      <c r="Q43" s="134"/>
      <c r="R43" s="272"/>
      <c r="S43" s="134"/>
      <c r="T43" s="134"/>
      <c r="U43" s="134"/>
    </row>
    <row r="44" spans="1:22" ht="5.45" customHeight="1" x14ac:dyDescent="0.25">
      <c r="C44" s="66"/>
      <c r="D44" s="66"/>
      <c r="E44" s="66"/>
      <c r="F44" s="66"/>
      <c r="G44" s="66"/>
      <c r="H44" s="84"/>
      <c r="I44" s="128"/>
      <c r="J44" s="128"/>
      <c r="K44" s="85"/>
      <c r="L44" s="66"/>
      <c r="M44" s="138"/>
      <c r="N44" s="138"/>
      <c r="O44" s="138"/>
      <c r="P44" s="138"/>
      <c r="Q44" s="143"/>
      <c r="R44" s="143"/>
      <c r="S44" s="143"/>
      <c r="T44" s="143"/>
      <c r="U44" s="143"/>
    </row>
    <row r="45" spans="1:22" x14ac:dyDescent="0.25">
      <c r="A45" s="2" t="s">
        <v>40</v>
      </c>
      <c r="C45" s="101">
        <f t="shared" ref="C45:U45" si="38">C42+C36+C43</f>
        <v>5258.1479999999992</v>
      </c>
      <c r="D45" s="101">
        <f t="shared" si="38"/>
        <v>14028.465</v>
      </c>
      <c r="E45" s="101">
        <f t="shared" si="38"/>
        <v>18090.876000000004</v>
      </c>
      <c r="F45" s="101">
        <f t="shared" si="38"/>
        <v>34820.074000000008</v>
      </c>
      <c r="G45" s="101">
        <f t="shared" si="38"/>
        <v>65465</v>
      </c>
      <c r="H45" s="125">
        <f t="shared" si="38"/>
        <v>0</v>
      </c>
      <c r="I45" s="127">
        <f t="shared" si="38"/>
        <v>0</v>
      </c>
      <c r="J45" s="127">
        <f t="shared" si="38"/>
        <v>0</v>
      </c>
      <c r="K45" s="122">
        <f t="shared" si="38"/>
        <v>0</v>
      </c>
      <c r="L45" s="101">
        <f t="shared" si="38"/>
        <v>71365</v>
      </c>
      <c r="M45" s="137">
        <f t="shared" si="38"/>
        <v>65237</v>
      </c>
      <c r="N45" s="137">
        <f t="shared" si="38"/>
        <v>70487</v>
      </c>
      <c r="O45" s="137">
        <f t="shared" si="38"/>
        <v>77518.968473356159</v>
      </c>
      <c r="P45" s="137">
        <f t="shared" si="38"/>
        <v>78093.652872301362</v>
      </c>
      <c r="Q45" s="142">
        <f t="shared" si="38"/>
        <v>78093.652872301362</v>
      </c>
      <c r="R45" s="142">
        <f t="shared" si="38"/>
        <v>87251.291774805606</v>
      </c>
      <c r="S45" s="142">
        <f t="shared" si="38"/>
        <v>105346.78033857208</v>
      </c>
      <c r="T45" s="142">
        <f t="shared" si="38"/>
        <v>130223.23537697509</v>
      </c>
      <c r="U45" s="142">
        <f t="shared" si="38"/>
        <v>167081.42589947267</v>
      </c>
    </row>
    <row r="46" spans="1:22" ht="6.6" customHeight="1" x14ac:dyDescent="0.25">
      <c r="C46" s="66"/>
      <c r="D46" s="66"/>
      <c r="E46" s="66"/>
      <c r="F46" s="66"/>
      <c r="G46" s="66"/>
      <c r="H46" s="84"/>
      <c r="I46" s="128"/>
      <c r="J46" s="128"/>
      <c r="K46" s="85"/>
      <c r="L46" s="66"/>
      <c r="M46" s="138"/>
      <c r="N46" s="138"/>
      <c r="O46" s="138"/>
      <c r="P46" s="138"/>
      <c r="Q46" s="143"/>
      <c r="R46" s="143"/>
      <c r="S46" s="143"/>
      <c r="T46" s="143"/>
      <c r="U46" s="143"/>
    </row>
    <row r="47" spans="1:22" x14ac:dyDescent="0.25">
      <c r="A47" s="2" t="s">
        <v>41</v>
      </c>
      <c r="C47" s="101">
        <f>C19-C45</f>
        <v>0</v>
      </c>
      <c r="D47" s="101">
        <f>D19-D45</f>
        <v>0</v>
      </c>
      <c r="E47" s="101">
        <f>E19-E45</f>
        <v>0</v>
      </c>
      <c r="F47" s="161">
        <f>F19-F45</f>
        <v>0</v>
      </c>
      <c r="G47" s="101">
        <f>G19-G45</f>
        <v>0</v>
      </c>
      <c r="H47" s="125"/>
      <c r="I47" s="127"/>
      <c r="J47" s="127"/>
      <c r="K47" s="122"/>
      <c r="L47" s="101">
        <f t="shared" ref="L47:U47" si="39">L19-L45</f>
        <v>0</v>
      </c>
      <c r="M47" s="125">
        <f t="shared" si="39"/>
        <v>0</v>
      </c>
      <c r="N47" s="127">
        <f t="shared" si="39"/>
        <v>0</v>
      </c>
      <c r="O47" s="170">
        <f t="shared" si="39"/>
        <v>0</v>
      </c>
      <c r="P47" s="271">
        <f t="shared" si="39"/>
        <v>0</v>
      </c>
      <c r="Q47" s="160">
        <f t="shared" si="39"/>
        <v>0</v>
      </c>
      <c r="R47" s="160">
        <f t="shared" si="39"/>
        <v>0</v>
      </c>
      <c r="S47" s="160">
        <f t="shared" si="39"/>
        <v>0</v>
      </c>
      <c r="T47" s="160">
        <f t="shared" si="39"/>
        <v>0</v>
      </c>
      <c r="U47" s="160">
        <f t="shared" si="39"/>
        <v>0</v>
      </c>
    </row>
    <row r="48" spans="1:22" x14ac:dyDescent="0.25">
      <c r="C48" s="76"/>
      <c r="D48" s="76"/>
      <c r="E48" s="76"/>
      <c r="F48" s="79"/>
      <c r="G48" s="79"/>
      <c r="H48" s="19"/>
      <c r="I48" s="19"/>
      <c r="J48" s="19"/>
      <c r="K48" s="76"/>
      <c r="L48" s="79"/>
      <c r="M48" s="19"/>
      <c r="N48" s="19"/>
      <c r="O48" s="138"/>
      <c r="P48" s="138"/>
      <c r="Q48" s="47"/>
      <c r="R48" s="273"/>
      <c r="S48" s="273"/>
      <c r="T48" s="273"/>
      <c r="U48" s="273"/>
    </row>
    <row r="49" spans="1:21" x14ac:dyDescent="0.25">
      <c r="C49" s="76"/>
      <c r="D49" s="76"/>
      <c r="E49" s="76"/>
      <c r="F49" s="79"/>
      <c r="G49" s="79"/>
      <c r="H49" s="19"/>
      <c r="I49" s="19"/>
      <c r="J49" s="19"/>
      <c r="K49" s="19"/>
      <c r="L49" s="79"/>
      <c r="M49" s="19"/>
      <c r="N49" s="19"/>
      <c r="O49" s="19"/>
      <c r="P49" s="19"/>
      <c r="Q49" s="47"/>
      <c r="R49" s="86"/>
      <c r="S49" s="86"/>
      <c r="T49" s="81"/>
      <c r="U49" s="78"/>
    </row>
    <row r="50" spans="1:21" x14ac:dyDescent="0.25">
      <c r="A50" s="34" t="s">
        <v>42</v>
      </c>
      <c r="B50" s="8"/>
      <c r="C50" s="77">
        <f>C2</f>
        <v>2017</v>
      </c>
      <c r="D50" s="77">
        <f>D2</f>
        <v>2018</v>
      </c>
      <c r="E50" s="77">
        <f>E2</f>
        <v>2019</v>
      </c>
      <c r="F50" s="80">
        <f>F2</f>
        <v>2020</v>
      </c>
      <c r="G50" s="80">
        <f>G2</f>
        <v>2021</v>
      </c>
      <c r="H50" s="35"/>
      <c r="I50" s="35"/>
      <c r="J50" s="35"/>
      <c r="K50" s="35"/>
      <c r="L50" s="80">
        <f t="shared" ref="L50:U50" si="40">L2</f>
        <v>2022</v>
      </c>
      <c r="M50" s="75" t="str">
        <f t="shared" si="40"/>
        <v>1Q23</v>
      </c>
      <c r="N50" s="75" t="str">
        <f t="shared" si="40"/>
        <v>2Q23</v>
      </c>
      <c r="O50" s="91" t="str">
        <f t="shared" si="40"/>
        <v>3Q23e</v>
      </c>
      <c r="P50" s="91" t="str">
        <f t="shared" si="40"/>
        <v>4Q23e</v>
      </c>
      <c r="Q50" s="83">
        <f t="shared" si="40"/>
        <v>2023</v>
      </c>
      <c r="R50" s="87">
        <f t="shared" si="40"/>
        <v>2024</v>
      </c>
      <c r="S50" s="87">
        <f t="shared" si="40"/>
        <v>2025</v>
      </c>
      <c r="T50" s="83">
        <f t="shared" si="40"/>
        <v>2026</v>
      </c>
      <c r="U50" s="88">
        <f t="shared" si="40"/>
        <v>2027</v>
      </c>
    </row>
    <row r="51" spans="1:21" x14ac:dyDescent="0.25">
      <c r="A51" s="23" t="s">
        <v>0</v>
      </c>
      <c r="B51" s="6"/>
      <c r="C51" s="22">
        <f>IS!C16</f>
        <v>3533.605</v>
      </c>
      <c r="D51" s="22">
        <f>IS!D16</f>
        <v>6707.9559999999992</v>
      </c>
      <c r="E51" s="22">
        <f>IS!E16</f>
        <v>15145.976000000001</v>
      </c>
      <c r="F51" s="57">
        <f>IS!F16</f>
        <v>12274.898999999999</v>
      </c>
      <c r="G51" s="57">
        <f>IS!G16</f>
        <v>25629</v>
      </c>
      <c r="H51" s="6"/>
      <c r="I51" s="6"/>
      <c r="J51" s="6"/>
      <c r="K51" s="6"/>
      <c r="L51" s="57">
        <f>IS!L16</f>
        <v>40908</v>
      </c>
      <c r="M51" s="6">
        <f>IS!M16</f>
        <v>7578</v>
      </c>
      <c r="N51" s="6">
        <f>[1]IS!N16</f>
        <v>13655</v>
      </c>
      <c r="O51" s="6">
        <f>IS!O16</f>
        <v>28274.400000000001</v>
      </c>
      <c r="P51" s="6">
        <f>IS!P16</f>
        <v>22446.5</v>
      </c>
      <c r="Q51" s="57">
        <f>IS!Q16</f>
        <v>71953.899999999994</v>
      </c>
      <c r="R51" s="82">
        <f>IS!R16</f>
        <v>99956.205999999991</v>
      </c>
      <c r="S51" s="82">
        <f>IS!S16</f>
        <v>134400.27170000001</v>
      </c>
      <c r="T51" s="57">
        <f>IS!T16</f>
        <v>174352.801805</v>
      </c>
      <c r="U51" s="22">
        <f>IS!U16</f>
        <v>219684.53027430002</v>
      </c>
    </row>
    <row r="52" spans="1:21" x14ac:dyDescent="0.25">
      <c r="A52" s="23" t="s">
        <v>1</v>
      </c>
      <c r="B52" s="6"/>
      <c r="C52" s="22">
        <f>-IS!C20</f>
        <v>1936.463</v>
      </c>
      <c r="D52" s="22">
        <f>-IS!D20</f>
        <v>3902.538</v>
      </c>
      <c r="E52" s="22">
        <f>-IS!E20</f>
        <v>8441.5059999999994</v>
      </c>
      <c r="F52" s="22">
        <f>-IS!F20</f>
        <v>6452.0479999999998</v>
      </c>
      <c r="G52" s="22">
        <f>-IS!G20</f>
        <v>14310</v>
      </c>
      <c r="H52" s="6"/>
      <c r="I52" s="6"/>
      <c r="J52" s="6"/>
      <c r="K52" s="6"/>
      <c r="L52" s="22">
        <f>-IS!L20</f>
        <v>23871</v>
      </c>
      <c r="M52" s="6">
        <f>-IS!M20</f>
        <v>3075</v>
      </c>
      <c r="N52" s="6">
        <f>-[1]IS!N20</f>
        <v>5911</v>
      </c>
      <c r="O52" s="6">
        <f>-IS!O20</f>
        <v>15833.664000000001</v>
      </c>
      <c r="P52" s="22">
        <f>-IS!P20</f>
        <v>12570.039999999999</v>
      </c>
      <c r="Q52" s="57">
        <f>-IS!Q20</f>
        <v>37389.703999999998</v>
      </c>
      <c r="R52" s="82">
        <f>-IS!R20</f>
        <v>53976.351239999996</v>
      </c>
      <c r="S52" s="82">
        <f>-IS!S20</f>
        <v>72576.146718000004</v>
      </c>
      <c r="T52" s="57">
        <f>-IS!T20</f>
        <v>94150.512974699988</v>
      </c>
      <c r="U52" s="22">
        <f>-IS!U20</f>
        <v>118629.64634812201</v>
      </c>
    </row>
    <row r="53" spans="1:21" x14ac:dyDescent="0.25">
      <c r="A53" s="15"/>
      <c r="C53" s="43"/>
      <c r="D53" s="43"/>
      <c r="E53" s="43"/>
      <c r="F53" s="47"/>
      <c r="G53" s="47"/>
      <c r="L53" s="47"/>
      <c r="Q53" s="47"/>
      <c r="R53" s="16"/>
      <c r="S53" s="16"/>
      <c r="T53" s="47"/>
      <c r="U53" s="43"/>
    </row>
    <row r="54" spans="1:21" x14ac:dyDescent="0.25">
      <c r="A54" s="15" t="s">
        <v>30</v>
      </c>
      <c r="C54" s="105">
        <f t="shared" ref="C54:G55" si="41">C8</f>
        <v>1487.373</v>
      </c>
      <c r="D54" s="105">
        <f t="shared" si="41"/>
        <v>1733.3630000000001</v>
      </c>
      <c r="E54" s="105">
        <f t="shared" si="41"/>
        <v>5083.74</v>
      </c>
      <c r="F54" s="102">
        <f t="shared" si="41"/>
        <v>3119.92</v>
      </c>
      <c r="G54" s="102">
        <f t="shared" si="41"/>
        <v>6095</v>
      </c>
      <c r="H54" s="104"/>
      <c r="I54" s="104"/>
      <c r="J54" s="104"/>
      <c r="K54" s="104"/>
      <c r="L54" s="102">
        <f>L8</f>
        <v>12221</v>
      </c>
      <c r="M54" s="103">
        <f>M8</f>
        <v>7202</v>
      </c>
      <c r="N54" s="104">
        <f t="shared" ref="N54:N55" si="42">N59/(365/4)*N51</f>
        <v>13573</v>
      </c>
      <c r="O54" s="104">
        <f t="shared" ref="O54:P54" si="43">O59/(365/4)*O51</f>
        <v>13943.539726027397</v>
      </c>
      <c r="P54" s="104">
        <f t="shared" si="43"/>
        <v>13529.397260273972</v>
      </c>
      <c r="Q54" s="102">
        <f>Q59/365*Q51</f>
        <v>13529.397260273972</v>
      </c>
      <c r="R54" s="103">
        <f t="shared" ref="R54:U54" si="44">R59/365*R51</f>
        <v>13692.630958904108</v>
      </c>
      <c r="S54" s="103">
        <f t="shared" si="44"/>
        <v>18410.99612328767</v>
      </c>
      <c r="T54" s="102">
        <f t="shared" si="44"/>
        <v>23883.945452739725</v>
      </c>
      <c r="U54" s="105">
        <f t="shared" si="44"/>
        <v>30093.771270452056</v>
      </c>
    </row>
    <row r="55" spans="1:21" x14ac:dyDescent="0.25">
      <c r="A55" s="15" t="s">
        <v>66</v>
      </c>
      <c r="C55" s="105">
        <f t="shared" si="41"/>
        <v>1530.508</v>
      </c>
      <c r="D55" s="105">
        <f t="shared" si="41"/>
        <v>2906.6689999999999</v>
      </c>
      <c r="E55" s="105">
        <f t="shared" si="41"/>
        <v>5886.2560000000003</v>
      </c>
      <c r="F55" s="102">
        <f t="shared" si="41"/>
        <v>8129.3019999999997</v>
      </c>
      <c r="G55" s="102">
        <f t="shared" si="41"/>
        <v>14977</v>
      </c>
      <c r="H55" s="104"/>
      <c r="I55" s="104"/>
      <c r="J55" s="104"/>
      <c r="K55" s="104"/>
      <c r="L55" s="102">
        <f>L9</f>
        <v>11367</v>
      </c>
      <c r="M55" s="103">
        <f>M9</f>
        <v>13051</v>
      </c>
      <c r="N55" s="104">
        <f t="shared" si="42"/>
        <v>14799.999999999998</v>
      </c>
      <c r="O55" s="104">
        <f t="shared" ref="O55:P55" si="45">O60/(365/4)*O52</f>
        <v>17351.960547945204</v>
      </c>
      <c r="P55" s="104">
        <f t="shared" si="45"/>
        <v>19285.540821917806</v>
      </c>
      <c r="Q55" s="102">
        <f>Q60/365*Q52</f>
        <v>19285.540821917806</v>
      </c>
      <c r="R55" s="103">
        <f t="shared" ref="R55:U55" si="46">R60/365*R52</f>
        <v>20703.25800986301</v>
      </c>
      <c r="S55" s="103">
        <f t="shared" si="46"/>
        <v>24854.844766438357</v>
      </c>
      <c r="T55" s="102">
        <f t="shared" si="46"/>
        <v>28374.127197854788</v>
      </c>
      <c r="U55" s="105">
        <f t="shared" si="46"/>
        <v>35751.400269297046</v>
      </c>
    </row>
    <row r="56" spans="1:21" x14ac:dyDescent="0.25">
      <c r="A56" s="15"/>
      <c r="C56" s="43"/>
      <c r="D56" s="43"/>
      <c r="E56" s="43"/>
      <c r="F56" s="47"/>
      <c r="G56" s="47"/>
      <c r="L56" s="47"/>
      <c r="Q56" s="47"/>
      <c r="R56" s="16"/>
      <c r="S56" s="16"/>
      <c r="T56" s="47"/>
      <c r="U56" s="43"/>
    </row>
    <row r="57" spans="1:21" x14ac:dyDescent="0.25">
      <c r="A57" s="15" t="s">
        <v>78</v>
      </c>
      <c r="C57" s="105">
        <f>C23</f>
        <v>3905.0219999999999</v>
      </c>
      <c r="D57" s="105">
        <f>D23</f>
        <v>1894.778</v>
      </c>
      <c r="E57" s="105">
        <f>E23</f>
        <v>3620.4430000000002</v>
      </c>
      <c r="F57" s="102">
        <f>F23</f>
        <v>4698.9629999999997</v>
      </c>
      <c r="G57" s="102">
        <f>G23</f>
        <v>10666</v>
      </c>
      <c r="H57" s="104"/>
      <c r="I57" s="104"/>
      <c r="J57" s="104"/>
      <c r="K57" s="104"/>
      <c r="L57" s="102">
        <f>L23</f>
        <v>11220</v>
      </c>
      <c r="M57" s="103">
        <f>M23</f>
        <v>9721</v>
      </c>
      <c r="N57" s="104">
        <f t="shared" ref="N57" si="47">N61/(365/4)*N52</f>
        <v>8787.9999999999982</v>
      </c>
      <c r="O57" s="104">
        <f t="shared" ref="O57:P57" si="48">O61/(365/4)*O52</f>
        <v>13881.568438356164</v>
      </c>
      <c r="P57" s="104">
        <f t="shared" si="48"/>
        <v>13086.616986301367</v>
      </c>
      <c r="Q57" s="102">
        <f>Q61/365*Q52</f>
        <v>13086.616986301366</v>
      </c>
      <c r="R57" s="103">
        <f t="shared" ref="R57:U57" si="49">R61/365*R52</f>
        <v>14048.639363835615</v>
      </c>
      <c r="S57" s="103">
        <f t="shared" si="49"/>
        <v>16901.294441178081</v>
      </c>
      <c r="T57" s="102">
        <f t="shared" si="49"/>
        <v>18056.262762271228</v>
      </c>
      <c r="U57" s="105">
        <f t="shared" si="49"/>
        <v>22750.891080461755</v>
      </c>
    </row>
    <row r="58" spans="1:21" x14ac:dyDescent="0.25">
      <c r="A58" s="15"/>
      <c r="C58" s="43"/>
      <c r="D58" s="43"/>
      <c r="E58" s="43"/>
      <c r="F58" s="47"/>
      <c r="G58" s="47"/>
      <c r="L58" s="47"/>
      <c r="M58" s="16"/>
      <c r="Q58" s="47"/>
      <c r="R58" s="16"/>
      <c r="S58" s="16"/>
      <c r="T58" s="47"/>
      <c r="U58" s="43"/>
    </row>
    <row r="59" spans="1:21" x14ac:dyDescent="0.25">
      <c r="A59" s="15" t="s">
        <v>43</v>
      </c>
      <c r="B59" s="123"/>
      <c r="C59" s="78">
        <f t="shared" ref="C59:G60" si="50">(C8/C51)*365</f>
        <v>153.63662463687933</v>
      </c>
      <c r="D59" s="78">
        <f t="shared" si="50"/>
        <v>94.317478379405017</v>
      </c>
      <c r="E59" s="78">
        <f t="shared" si="50"/>
        <v>122.51208505810388</v>
      </c>
      <c r="F59" s="81">
        <f t="shared" si="50"/>
        <v>92.772315275262144</v>
      </c>
      <c r="G59" s="81">
        <f t="shared" si="50"/>
        <v>86.803035623707515</v>
      </c>
      <c r="H59" s="21"/>
      <c r="I59" s="21"/>
      <c r="J59" s="21"/>
      <c r="K59" s="21"/>
      <c r="L59" s="81">
        <f>(L8/L51)*365</f>
        <v>109.04138554805905</v>
      </c>
      <c r="M59" s="86">
        <f>(M8/M51)*365/4</f>
        <v>86.722420163631568</v>
      </c>
      <c r="N59" s="21">
        <f>(N8/N51)*365/4</f>
        <v>90.702032222629072</v>
      </c>
      <c r="O59" s="90">
        <v>45</v>
      </c>
      <c r="P59" s="90">
        <v>55</v>
      </c>
      <c r="Q59" s="81">
        <f>(Q8/Q51)*365</f>
        <v>68.630470342816722</v>
      </c>
      <c r="R59" s="89">
        <v>50</v>
      </c>
      <c r="S59" s="89">
        <v>50</v>
      </c>
      <c r="T59" s="89">
        <v>50</v>
      </c>
      <c r="U59" s="141">
        <v>50</v>
      </c>
    </row>
    <row r="60" spans="1:21" x14ac:dyDescent="0.25">
      <c r="A60" s="15" t="s">
        <v>44</v>
      </c>
      <c r="B60" s="18"/>
      <c r="C60" s="78">
        <f t="shared" si="50"/>
        <v>288.48236191448018</v>
      </c>
      <c r="D60" s="78">
        <f t="shared" si="50"/>
        <v>271.85748992066186</v>
      </c>
      <c r="E60" s="78">
        <f t="shared" si="50"/>
        <v>254.51423478227701</v>
      </c>
      <c r="F60" s="81">
        <f t="shared" si="50"/>
        <v>459.88424605644599</v>
      </c>
      <c r="G60" s="81">
        <f t="shared" si="50"/>
        <v>382.01292802236196</v>
      </c>
      <c r="H60" s="21"/>
      <c r="I60" s="21"/>
      <c r="J60" s="21"/>
      <c r="K60" s="21"/>
      <c r="L60" s="81">
        <f>(L9/L52)*365</f>
        <v>173.80733944954127</v>
      </c>
      <c r="M60" s="86">
        <f>(M9/M52)*365/4</f>
        <v>387.28577235772354</v>
      </c>
      <c r="N60" s="21">
        <f>(N9/N52)*365/4</f>
        <v>228.47233970563354</v>
      </c>
      <c r="O60" s="90">
        <v>100</v>
      </c>
      <c r="P60" s="90">
        <v>140</v>
      </c>
      <c r="Q60" s="81">
        <f>(Q9/Q52)*365</f>
        <v>188.26633128735119</v>
      </c>
      <c r="R60" s="89">
        <v>140</v>
      </c>
      <c r="S60" s="89">
        <v>125</v>
      </c>
      <c r="T60" s="89">
        <v>110</v>
      </c>
      <c r="U60" s="141">
        <v>110</v>
      </c>
    </row>
    <row r="61" spans="1:21" x14ac:dyDescent="0.25">
      <c r="A61" s="15" t="s">
        <v>45</v>
      </c>
      <c r="B61" s="123"/>
      <c r="C61" s="78">
        <f>(C23/C52)*365</f>
        <v>736.04971021909535</v>
      </c>
      <c r="D61" s="78">
        <f>(D23/D52)*365</f>
        <v>177.21646016002919</v>
      </c>
      <c r="E61" s="78">
        <f>(E23/E52)*365</f>
        <v>156.5433579031988</v>
      </c>
      <c r="F61" s="81">
        <f>(F23/F52)*365</f>
        <v>265.82590442600548</v>
      </c>
      <c r="G61" s="81">
        <f>(G23/G52)*365</f>
        <v>272.05380852550661</v>
      </c>
      <c r="H61" s="21"/>
      <c r="I61" s="21"/>
      <c r="J61" s="21"/>
      <c r="K61" s="21"/>
      <c r="L61" s="81">
        <f>(L23/L52)*365</f>
        <v>171.55963302752295</v>
      </c>
      <c r="M61" s="86">
        <f>(M23/M52)*365/4</f>
        <v>288.46869918699184</v>
      </c>
      <c r="N61" s="21">
        <f>(N23/N52)*365/4</f>
        <v>135.66317036034511</v>
      </c>
      <c r="O61" s="90">
        <v>80</v>
      </c>
      <c r="P61" s="90">
        <v>95</v>
      </c>
      <c r="Q61" s="81">
        <f>(Q23/Q52)*365</f>
        <v>127.75215337355971</v>
      </c>
      <c r="R61" s="89">
        <v>95</v>
      </c>
      <c r="S61" s="89">
        <v>85</v>
      </c>
      <c r="T61" s="89">
        <v>70</v>
      </c>
      <c r="U61" s="141">
        <v>70</v>
      </c>
    </row>
    <row r="62" spans="1:21" x14ac:dyDescent="0.25">
      <c r="A62" s="15"/>
      <c r="B62" s="123"/>
      <c r="C62" s="78"/>
      <c r="D62" s="78"/>
      <c r="E62" s="78"/>
      <c r="F62" s="81"/>
      <c r="G62" s="81"/>
      <c r="H62" s="21"/>
      <c r="I62" s="21"/>
      <c r="J62" s="21"/>
      <c r="K62" s="21"/>
      <c r="L62" s="81"/>
      <c r="M62" s="86"/>
      <c r="N62" s="128"/>
      <c r="O62" s="128"/>
      <c r="P62" s="128"/>
      <c r="Q62" s="81"/>
      <c r="R62" s="84"/>
      <c r="S62" s="84"/>
      <c r="T62" s="84"/>
      <c r="U62" s="66"/>
    </row>
  </sheetData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5F88-6EB2-4903-BD26-25AEB1F19456}">
  <sheetPr>
    <pageSetUpPr fitToPage="1"/>
  </sheetPr>
  <dimension ref="A1:Z54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outlineLevelCol="1" x14ac:dyDescent="0.25"/>
  <cols>
    <col min="1" max="1" width="43.140625" customWidth="1"/>
    <col min="2" max="2" width="0" hidden="1" customWidth="1"/>
    <col min="3" max="7" width="12" customWidth="1"/>
    <col min="8" max="11" width="12" hidden="1" customWidth="1" outlineLevel="1"/>
    <col min="12" max="12" width="12" customWidth="1" collapsed="1"/>
    <col min="13" max="16" width="12" customWidth="1" outlineLevel="1"/>
    <col min="17" max="21" width="12" customWidth="1"/>
  </cols>
  <sheetData>
    <row r="1" spans="1:21" x14ac:dyDescent="0.25">
      <c r="A1" s="7" t="s">
        <v>14</v>
      </c>
      <c r="B1" s="7"/>
      <c r="C1" s="158">
        <f>BS!C1</f>
        <v>43100</v>
      </c>
      <c r="D1" s="158">
        <f>BS!D1</f>
        <v>43465</v>
      </c>
      <c r="E1" s="158">
        <f>BS!E1</f>
        <v>43830</v>
      </c>
      <c r="F1" s="158">
        <f>BS!F1</f>
        <v>44196</v>
      </c>
      <c r="G1" s="158">
        <f>BS!G1</f>
        <v>44561</v>
      </c>
      <c r="H1" s="158">
        <f>BS!H1</f>
        <v>0</v>
      </c>
      <c r="I1" s="158">
        <f>BS!I1</f>
        <v>0</v>
      </c>
      <c r="J1" s="158">
        <f>BS!J1</f>
        <v>0</v>
      </c>
      <c r="K1" s="158">
        <f>BS!K1</f>
        <v>0</v>
      </c>
      <c r="L1" s="158">
        <f>BS!L1</f>
        <v>44926</v>
      </c>
      <c r="M1" s="158">
        <f>BS!M1</f>
        <v>45016</v>
      </c>
      <c r="N1" s="158">
        <f>[1]BS!N1</f>
        <v>45107</v>
      </c>
      <c r="O1" s="159">
        <f>BS!O1</f>
        <v>45199</v>
      </c>
      <c r="P1" s="159">
        <f>BS!P1</f>
        <v>45291</v>
      </c>
      <c r="Q1" s="159">
        <f>BS!Q1</f>
        <v>45291</v>
      </c>
      <c r="R1" s="159">
        <f>BS!R1</f>
        <v>45657</v>
      </c>
      <c r="S1" s="159">
        <f>BS!S1</f>
        <v>46022</v>
      </c>
      <c r="T1" s="159">
        <f>BS!T1</f>
        <v>46387</v>
      </c>
      <c r="U1" s="159">
        <f>BS!U1</f>
        <v>46752</v>
      </c>
    </row>
    <row r="2" spans="1:21" x14ac:dyDescent="0.25">
      <c r="A2" s="13" t="s">
        <v>60</v>
      </c>
      <c r="B2" s="9">
        <v>2016</v>
      </c>
      <c r="C2" s="9">
        <f>BS!C2</f>
        <v>2017</v>
      </c>
      <c r="D2" s="9">
        <f>BS!D2</f>
        <v>2018</v>
      </c>
      <c r="E2" s="9">
        <f>BS!E2</f>
        <v>2019</v>
      </c>
      <c r="F2" s="9">
        <f>BS!F2</f>
        <v>2020</v>
      </c>
      <c r="G2" s="9">
        <f>BS!G2</f>
        <v>2021</v>
      </c>
      <c r="H2" s="9">
        <f>BS!H2</f>
        <v>0</v>
      </c>
      <c r="I2" s="9">
        <f>BS!I2</f>
        <v>0</v>
      </c>
      <c r="J2" s="9">
        <f>BS!J2</f>
        <v>0</v>
      </c>
      <c r="K2" s="9">
        <f>BS!K2</f>
        <v>0</v>
      </c>
      <c r="L2" s="9">
        <f>BS!L2</f>
        <v>2022</v>
      </c>
      <c r="M2" s="9" t="str">
        <f>BS!M2</f>
        <v>1Q23</v>
      </c>
      <c r="N2" s="9" t="str">
        <f>[1]BS!N2</f>
        <v>2Q23</v>
      </c>
      <c r="O2" s="10" t="str">
        <f>BS!O2</f>
        <v>3Q23e</v>
      </c>
      <c r="P2" s="10" t="str">
        <f>BS!P2</f>
        <v>4Q23e</v>
      </c>
      <c r="Q2" s="10">
        <f>BS!Q2</f>
        <v>2023</v>
      </c>
      <c r="R2" s="10">
        <f>BS!R2</f>
        <v>2024</v>
      </c>
      <c r="S2" s="10">
        <f>BS!S2</f>
        <v>2025</v>
      </c>
      <c r="T2" s="10">
        <f>BS!T2</f>
        <v>2026</v>
      </c>
      <c r="U2" s="10">
        <f>BS!U2</f>
        <v>2027</v>
      </c>
    </row>
    <row r="3" spans="1:21" ht="6" customHeight="1" x14ac:dyDescent="0.25">
      <c r="C3" s="47"/>
      <c r="D3" s="47"/>
      <c r="E3" s="47"/>
      <c r="F3" s="47"/>
      <c r="G3" s="47"/>
      <c r="H3" s="16"/>
      <c r="K3" s="43"/>
      <c r="L3" s="47"/>
      <c r="Q3" s="47"/>
      <c r="R3" s="47"/>
      <c r="S3" s="47"/>
      <c r="T3" s="47"/>
      <c r="U3" s="47"/>
    </row>
    <row r="4" spans="1:21" x14ac:dyDescent="0.25">
      <c r="A4" s="2" t="s">
        <v>61</v>
      </c>
      <c r="C4" s="47"/>
      <c r="D4" s="47"/>
      <c r="E4" s="47"/>
      <c r="F4" s="47"/>
      <c r="G4" s="47"/>
      <c r="H4" s="16"/>
      <c r="K4" s="43"/>
      <c r="L4" s="47"/>
      <c r="Q4" s="47"/>
      <c r="R4" s="47"/>
      <c r="S4" s="47"/>
      <c r="T4" s="47"/>
      <c r="U4" s="47"/>
    </row>
    <row r="5" spans="1:21" x14ac:dyDescent="0.25">
      <c r="A5" t="s">
        <v>62</v>
      </c>
      <c r="C5" s="102">
        <f>IS!C55</f>
        <v>-2397.2289999999994</v>
      </c>
      <c r="D5" s="102">
        <f>IS!D55</f>
        <v>-2852.3890000000001</v>
      </c>
      <c r="E5" s="102">
        <f>IS!E55</f>
        <v>-3003.485999999999</v>
      </c>
      <c r="F5" s="102">
        <f>IS!F55</f>
        <v>-5534.933</v>
      </c>
      <c r="G5" s="102">
        <f>IS!G55</f>
        <v>-3537</v>
      </c>
      <c r="H5" s="103"/>
      <c r="I5" s="104"/>
      <c r="J5" s="104"/>
      <c r="K5" s="105"/>
      <c r="L5" s="102">
        <f>IS!L55</f>
        <v>-4243</v>
      </c>
      <c r="M5" s="104">
        <f>IS!M55</f>
        <v>-1336</v>
      </c>
      <c r="N5" s="104">
        <f>[1]IS!N55</f>
        <v>1997</v>
      </c>
      <c r="O5" s="104">
        <f>IS!O55</f>
        <v>1655.656035</v>
      </c>
      <c r="P5" s="104">
        <f>IS!P55</f>
        <v>1145.170851000001</v>
      </c>
      <c r="Q5" s="102">
        <f t="shared" ref="Q5:Q22" si="0">SUM(M5:P5)</f>
        <v>3461.8268860000007</v>
      </c>
      <c r="R5" s="104">
        <f>IS!R55</f>
        <v>6696.2734349699967</v>
      </c>
      <c r="S5" s="102">
        <f>IS!S55</f>
        <v>13495.629954324007</v>
      </c>
      <c r="T5" s="102">
        <f>IS!T55</f>
        <v>21803.605897454858</v>
      </c>
      <c r="U5" s="102">
        <f>IS!U55</f>
        <v>29966.71690156405</v>
      </c>
    </row>
    <row r="6" spans="1:21" x14ac:dyDescent="0.25">
      <c r="A6" t="s">
        <v>63</v>
      </c>
      <c r="C6" s="70">
        <v>94.03</v>
      </c>
      <c r="D6" s="70">
        <f>279.642+282.089</f>
        <v>561.73099999999999</v>
      </c>
      <c r="E6" s="110">
        <f>-IS!E31</f>
        <v>1680.3920000000001</v>
      </c>
      <c r="F6" s="110">
        <f>-IS!F31</f>
        <v>1104.133</v>
      </c>
      <c r="G6" s="110">
        <f>-IS!G31</f>
        <v>2914</v>
      </c>
      <c r="H6" s="103"/>
      <c r="I6" s="104"/>
      <c r="J6" s="104"/>
      <c r="K6" s="105"/>
      <c r="L6" s="110">
        <f>-IS!L31</f>
        <v>4781</v>
      </c>
      <c r="M6" s="104">
        <f>-IS!M31</f>
        <v>1263</v>
      </c>
      <c r="N6" s="104">
        <f>-[1]IS!N31</f>
        <v>1232</v>
      </c>
      <c r="O6" s="152">
        <f>-IS!O31</f>
        <v>1979.2080000000003</v>
      </c>
      <c r="P6" s="104">
        <f>-IS!P31</f>
        <v>1616.1479999999999</v>
      </c>
      <c r="Q6" s="102">
        <f t="shared" si="0"/>
        <v>6090.3560000000007</v>
      </c>
      <c r="R6" s="152">
        <f>-IS!R31</f>
        <v>6797.0220079999999</v>
      </c>
      <c r="S6" s="102">
        <f>-IS!S31</f>
        <v>8198.4165737000003</v>
      </c>
      <c r="T6" s="102">
        <f>-IS!T31</f>
        <v>8717.6400902500009</v>
      </c>
      <c r="U6" s="102">
        <f>-IS!U31</f>
        <v>9885.8038623435004</v>
      </c>
    </row>
    <row r="7" spans="1:21" x14ac:dyDescent="0.25">
      <c r="A7" t="s">
        <v>94</v>
      </c>
      <c r="C7" s="110">
        <f>-IS!C33</f>
        <v>275.60000000000002</v>
      </c>
      <c r="D7" s="110">
        <f>-IS!D33</f>
        <v>342.6</v>
      </c>
      <c r="E7" s="110">
        <f>-IS!E33</f>
        <v>1370.7449999999999</v>
      </c>
      <c r="F7" s="110">
        <f>-IS!F33</f>
        <v>975.29899999999998</v>
      </c>
      <c r="G7" s="110">
        <f>-IS!G33</f>
        <v>433</v>
      </c>
      <c r="H7" s="103"/>
      <c r="I7" s="104"/>
      <c r="J7" s="104"/>
      <c r="K7" s="105"/>
      <c r="L7" s="110">
        <f>-IS!L33</f>
        <v>797</v>
      </c>
      <c r="M7" s="152">
        <f>-IS!M33</f>
        <v>161</v>
      </c>
      <c r="N7" s="152">
        <f>-[1]IS!N33</f>
        <v>98</v>
      </c>
      <c r="O7" s="152">
        <f>-IS!O33</f>
        <v>282.74400000000003</v>
      </c>
      <c r="P7" s="153">
        <f>-IS!P33</f>
        <v>224.465</v>
      </c>
      <c r="Q7" s="102">
        <f t="shared" si="0"/>
        <v>766.20900000000006</v>
      </c>
      <c r="R7" s="152">
        <f>-IS!R33</f>
        <v>1499.3430899999998</v>
      </c>
      <c r="S7" s="102">
        <f>-IS!S33</f>
        <v>1747.2035321000001</v>
      </c>
      <c r="T7" s="102">
        <f>-IS!T33</f>
        <v>1917.8808198549998</v>
      </c>
      <c r="U7" s="102">
        <f>-IS!U33</f>
        <v>2196.845302743</v>
      </c>
    </row>
    <row r="8" spans="1:21" x14ac:dyDescent="0.25">
      <c r="A8" t="s">
        <v>126</v>
      </c>
      <c r="C8" s="70">
        <v>0</v>
      </c>
      <c r="D8" s="70">
        <v>2.169</v>
      </c>
      <c r="E8" s="70">
        <v>-576.42499999999995</v>
      </c>
      <c r="F8" s="70">
        <v>36.338000000000001</v>
      </c>
      <c r="G8" s="70">
        <v>0</v>
      </c>
      <c r="H8" s="103"/>
      <c r="I8" s="104"/>
      <c r="J8" s="104"/>
      <c r="K8" s="105"/>
      <c r="L8" s="70">
        <v>207</v>
      </c>
      <c r="M8" s="36">
        <v>-499</v>
      </c>
      <c r="N8" s="36">
        <f>-796+2757-M8</f>
        <v>2460</v>
      </c>
      <c r="O8" s="36">
        <v>0</v>
      </c>
      <c r="P8" s="36">
        <v>0</v>
      </c>
      <c r="Q8" s="102">
        <f t="shared" si="0"/>
        <v>1961</v>
      </c>
      <c r="R8" s="36">
        <v>0</v>
      </c>
      <c r="S8" s="70">
        <v>0</v>
      </c>
      <c r="T8" s="70">
        <v>0</v>
      </c>
      <c r="U8" s="70">
        <v>0</v>
      </c>
    </row>
    <row r="9" spans="1:21" x14ac:dyDescent="0.25">
      <c r="A9" t="s">
        <v>127</v>
      </c>
      <c r="C9" s="70">
        <v>1.8979999999999999</v>
      </c>
      <c r="D9" s="70">
        <v>0</v>
      </c>
      <c r="E9" s="70">
        <v>178.11799999999999</v>
      </c>
      <c r="F9" s="70">
        <v>220.75700000000001</v>
      </c>
      <c r="G9" s="70">
        <v>356</v>
      </c>
      <c r="H9" s="103"/>
      <c r="I9" s="104"/>
      <c r="J9" s="104"/>
      <c r="K9" s="105"/>
      <c r="L9" s="70">
        <v>327</v>
      </c>
      <c r="M9" s="36">
        <v>76</v>
      </c>
      <c r="N9" s="36">
        <f>161-M9</f>
        <v>85</v>
      </c>
      <c r="O9" s="36">
        <v>0</v>
      </c>
      <c r="P9" s="36">
        <v>0</v>
      </c>
      <c r="Q9" s="102">
        <f t="shared" si="0"/>
        <v>161</v>
      </c>
      <c r="R9" s="36">
        <v>0</v>
      </c>
      <c r="S9" s="70">
        <v>0</v>
      </c>
      <c r="T9" s="70">
        <v>0</v>
      </c>
      <c r="U9" s="70">
        <v>0</v>
      </c>
    </row>
    <row r="10" spans="1:21" x14ac:dyDescent="0.25">
      <c r="A10" t="s">
        <v>128</v>
      </c>
      <c r="C10" s="70">
        <v>-350.25700000000001</v>
      </c>
      <c r="D10" s="70"/>
      <c r="E10" s="70">
        <v>0</v>
      </c>
      <c r="F10" s="70">
        <v>0</v>
      </c>
      <c r="G10" s="70">
        <v>63</v>
      </c>
      <c r="H10" s="103"/>
      <c r="I10" s="104"/>
      <c r="J10" s="104"/>
      <c r="K10" s="105"/>
      <c r="L10" s="70">
        <v>64</v>
      </c>
      <c r="M10" s="36">
        <v>15</v>
      </c>
      <c r="N10" s="36">
        <f>24-M10</f>
        <v>9</v>
      </c>
      <c r="O10" s="36">
        <v>0</v>
      </c>
      <c r="P10" s="36">
        <v>0</v>
      </c>
      <c r="Q10" s="102">
        <f t="shared" si="0"/>
        <v>24</v>
      </c>
      <c r="R10" s="36">
        <v>0</v>
      </c>
      <c r="S10" s="70">
        <v>0</v>
      </c>
      <c r="T10" s="70">
        <v>0</v>
      </c>
      <c r="U10" s="70">
        <v>0</v>
      </c>
    </row>
    <row r="11" spans="1:21" x14ac:dyDescent="0.25">
      <c r="A11" t="s">
        <v>129</v>
      </c>
      <c r="C11" s="70">
        <v>0</v>
      </c>
      <c r="D11" s="70"/>
      <c r="E11" s="70">
        <v>31.69</v>
      </c>
      <c r="F11" s="70">
        <v>41.51</v>
      </c>
      <c r="G11" s="70">
        <v>196</v>
      </c>
      <c r="H11" s="92"/>
      <c r="I11" s="36"/>
      <c r="J11" s="36"/>
      <c r="K11" s="69"/>
      <c r="L11" s="70">
        <v>436</v>
      </c>
      <c r="M11" s="36">
        <v>87</v>
      </c>
      <c r="N11" s="36">
        <f>177-M11</f>
        <v>90</v>
      </c>
      <c r="O11" s="36">
        <v>0</v>
      </c>
      <c r="P11" s="36">
        <v>0</v>
      </c>
      <c r="Q11" s="102">
        <f t="shared" si="0"/>
        <v>177</v>
      </c>
      <c r="R11" s="36">
        <v>0</v>
      </c>
      <c r="S11" s="70">
        <v>0</v>
      </c>
      <c r="T11" s="70">
        <v>0</v>
      </c>
      <c r="U11" s="70">
        <v>0</v>
      </c>
    </row>
    <row r="12" spans="1:21" x14ac:dyDescent="0.25">
      <c r="A12" t="s">
        <v>130</v>
      </c>
      <c r="C12" s="70">
        <v>-19.140999999999998</v>
      </c>
      <c r="D12" s="70">
        <v>-65.709000000000003</v>
      </c>
      <c r="E12" s="70">
        <v>174.99600000000001</v>
      </c>
      <c r="F12" s="70">
        <v>0</v>
      </c>
      <c r="G12" s="70">
        <v>357</v>
      </c>
      <c r="H12" s="92"/>
      <c r="I12" s="36"/>
      <c r="J12" s="36"/>
      <c r="K12" s="69"/>
      <c r="L12" s="70">
        <v>1282</v>
      </c>
      <c r="M12" s="36">
        <v>156</v>
      </c>
      <c r="N12" s="36">
        <f>156-M12</f>
        <v>0</v>
      </c>
      <c r="O12" s="36">
        <v>0</v>
      </c>
      <c r="P12" s="36">
        <v>0</v>
      </c>
      <c r="Q12" s="102">
        <f t="shared" si="0"/>
        <v>156</v>
      </c>
      <c r="R12" s="36">
        <v>0</v>
      </c>
      <c r="S12" s="70">
        <v>0</v>
      </c>
      <c r="T12" s="70">
        <v>0</v>
      </c>
      <c r="U12" s="70">
        <v>0</v>
      </c>
    </row>
    <row r="13" spans="1:21" x14ac:dyDescent="0.25">
      <c r="A13" t="s">
        <v>131</v>
      </c>
      <c r="C13" s="70">
        <v>0</v>
      </c>
      <c r="D13" s="70">
        <v>-111.705</v>
      </c>
      <c r="E13" s="70">
        <v>-61.384999999999998</v>
      </c>
      <c r="F13" s="70">
        <v>-123.892</v>
      </c>
      <c r="G13" s="70">
        <v>-106</v>
      </c>
      <c r="H13" s="103"/>
      <c r="I13" s="104"/>
      <c r="J13" s="104"/>
      <c r="K13" s="105"/>
      <c r="L13" s="70">
        <v>-1059</v>
      </c>
      <c r="M13" s="36">
        <v>86</v>
      </c>
      <c r="N13" s="36">
        <f>324-M13</f>
        <v>238</v>
      </c>
      <c r="O13" s="36">
        <v>0</v>
      </c>
      <c r="P13" s="36">
        <v>0</v>
      </c>
      <c r="Q13" s="102">
        <f t="shared" si="0"/>
        <v>324</v>
      </c>
      <c r="R13" s="36">
        <v>0</v>
      </c>
      <c r="S13" s="70">
        <v>0</v>
      </c>
      <c r="T13" s="70">
        <v>0</v>
      </c>
      <c r="U13" s="70">
        <v>0</v>
      </c>
    </row>
    <row r="14" spans="1:21" x14ac:dyDescent="0.25">
      <c r="A14" t="s">
        <v>138</v>
      </c>
      <c r="C14" s="70">
        <v>-707.56200000000001</v>
      </c>
      <c r="D14" s="70">
        <v>-1076.5309999999999</v>
      </c>
      <c r="E14" s="70">
        <v>0</v>
      </c>
      <c r="F14" s="70">
        <v>0</v>
      </c>
      <c r="G14" s="70">
        <v>0</v>
      </c>
      <c r="H14" s="103"/>
      <c r="I14" s="104"/>
      <c r="J14" s="104"/>
      <c r="K14" s="105"/>
      <c r="L14" s="70">
        <v>0</v>
      </c>
      <c r="M14" s="36">
        <v>0</v>
      </c>
      <c r="N14" s="36">
        <f>-4035-M14</f>
        <v>-4035</v>
      </c>
      <c r="O14" s="36"/>
      <c r="P14" s="36"/>
      <c r="Q14" s="102">
        <f t="shared" si="0"/>
        <v>-4035</v>
      </c>
      <c r="R14" s="36">
        <v>0</v>
      </c>
      <c r="S14" s="70">
        <v>0</v>
      </c>
      <c r="T14" s="70">
        <v>0</v>
      </c>
      <c r="U14" s="70">
        <v>0</v>
      </c>
    </row>
    <row r="15" spans="1:21" x14ac:dyDescent="0.25">
      <c r="A15" s="2" t="s">
        <v>64</v>
      </c>
      <c r="C15" s="106">
        <f>SUM(C5:C14)</f>
        <v>-3102.6609999999991</v>
      </c>
      <c r="D15" s="106">
        <f t="shared" ref="D15:L15" si="1">SUM(D5:D14)</f>
        <v>-3199.8340000000003</v>
      </c>
      <c r="E15" s="106">
        <f t="shared" si="1"/>
        <v>-205.35499999999897</v>
      </c>
      <c r="F15" s="106">
        <f t="shared" si="1"/>
        <v>-3280.7879999999996</v>
      </c>
      <c r="G15" s="106">
        <f t="shared" si="1"/>
        <v>676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  <c r="L15" s="106">
        <f t="shared" si="1"/>
        <v>2592</v>
      </c>
      <c r="M15" s="107">
        <f>SUM(M5:M14)+1311</f>
        <v>1320</v>
      </c>
      <c r="N15" s="108">
        <f>SUM(N5:N14)+5425-M15</f>
        <v>6279</v>
      </c>
      <c r="O15" s="108">
        <f t="shared" ref="O15:U15" si="2">SUM(O5:O13)</f>
        <v>3917.6080350000007</v>
      </c>
      <c r="P15" s="108">
        <f t="shared" si="2"/>
        <v>2985.7838510000011</v>
      </c>
      <c r="Q15" s="106">
        <f t="shared" si="0"/>
        <v>14502.391886000001</v>
      </c>
      <c r="R15" s="108">
        <f t="shared" si="2"/>
        <v>14992.638532969997</v>
      </c>
      <c r="S15" s="106">
        <f t="shared" si="2"/>
        <v>23441.25006012401</v>
      </c>
      <c r="T15" s="106">
        <f t="shared" si="2"/>
        <v>32439.12680755986</v>
      </c>
      <c r="U15" s="106">
        <f t="shared" si="2"/>
        <v>42049.366066650553</v>
      </c>
    </row>
    <row r="16" spans="1:21" x14ac:dyDescent="0.25">
      <c r="A16" t="s">
        <v>65</v>
      </c>
      <c r="C16" s="70">
        <v>-936.67700000000002</v>
      </c>
      <c r="D16" s="70">
        <v>-821.1</v>
      </c>
      <c r="E16" s="70">
        <v>-3350.377</v>
      </c>
      <c r="F16" s="70">
        <v>1881.751</v>
      </c>
      <c r="G16" s="70">
        <v>-2131</v>
      </c>
      <c r="H16" s="111"/>
      <c r="I16" s="112"/>
      <c r="J16" s="112"/>
      <c r="K16" s="113"/>
      <c r="L16" s="70">
        <v>-6122</v>
      </c>
      <c r="M16" s="112">
        <v>0</v>
      </c>
      <c r="N16" s="112">
        <v>0</v>
      </c>
      <c r="O16" s="112">
        <f>-(BS!O8-BS!N8)</f>
        <v>-370.53972602739668</v>
      </c>
      <c r="P16" s="112">
        <f>-(BS!P8-BS!O8)</f>
        <v>414.1424657534244</v>
      </c>
      <c r="Q16" s="102">
        <f t="shared" si="0"/>
        <v>43.602739726027721</v>
      </c>
      <c r="R16" s="112">
        <f>-(BS!R8-BS!Q8)</f>
        <v>-163.23369863013613</v>
      </c>
      <c r="S16" s="110">
        <f>-(BS!S8-BS!R8)</f>
        <v>-4718.3651643835619</v>
      </c>
      <c r="T16" s="110">
        <f>-(BS!T8-BS!S8)</f>
        <v>-5472.9493294520544</v>
      </c>
      <c r="U16" s="110">
        <f>-(BS!U8-BS!T8)</f>
        <v>-6209.8258177123316</v>
      </c>
    </row>
    <row r="17" spans="1:26" x14ac:dyDescent="0.25">
      <c r="A17" t="s">
        <v>66</v>
      </c>
      <c r="C17" s="70">
        <v>-414.07900000000001</v>
      </c>
      <c r="D17" s="70">
        <v>851.18200000000002</v>
      </c>
      <c r="E17" s="70">
        <v>-2281.6129999999998</v>
      </c>
      <c r="F17" s="70">
        <v>-2243.0459999999998</v>
      </c>
      <c r="G17" s="70">
        <v>-6579</v>
      </c>
      <c r="H17" s="111"/>
      <c r="I17" s="112"/>
      <c r="J17" s="112"/>
      <c r="K17" s="113"/>
      <c r="L17" s="70">
        <v>2883</v>
      </c>
      <c r="M17" s="112">
        <v>0</v>
      </c>
      <c r="N17" s="112">
        <v>0</v>
      </c>
      <c r="O17" s="112">
        <f>-(BS!O9-BS!N9)</f>
        <v>-2551.9605479452039</v>
      </c>
      <c r="P17" s="112">
        <f>-(BS!P9-BS!O9)</f>
        <v>-1933.5802739726023</v>
      </c>
      <c r="Q17" s="102">
        <f t="shared" si="0"/>
        <v>-4485.5408219178062</v>
      </c>
      <c r="R17" s="112">
        <f>-(BS!R9-BS!Q9)</f>
        <v>-1417.7171879452035</v>
      </c>
      <c r="S17" s="110">
        <f>-(BS!S9-BS!R9)</f>
        <v>-4151.586756575347</v>
      </c>
      <c r="T17" s="110">
        <f>-(BS!T9-BS!S9)</f>
        <v>-3519.2824314164318</v>
      </c>
      <c r="U17" s="110">
        <f>-(BS!U9-BS!T9)</f>
        <v>-7377.2730714422578</v>
      </c>
    </row>
    <row r="18" spans="1:26" x14ac:dyDescent="0.25">
      <c r="A18" t="s">
        <v>67</v>
      </c>
      <c r="C18" s="70">
        <v>-71.16</v>
      </c>
      <c r="D18" s="70">
        <v>52.994999999999997</v>
      </c>
      <c r="E18" s="70">
        <v>-262.39299999999997</v>
      </c>
      <c r="F18" s="70">
        <v>-957.08799999999997</v>
      </c>
      <c r="G18" s="70">
        <v>208</v>
      </c>
      <c r="H18" s="111"/>
      <c r="I18" s="112"/>
      <c r="J18" s="112"/>
      <c r="K18" s="113"/>
      <c r="L18" s="70">
        <v>-167</v>
      </c>
      <c r="M18" s="112">
        <v>0</v>
      </c>
      <c r="N18" s="112">
        <v>0</v>
      </c>
      <c r="O18" s="112">
        <f>-(BS!O10-BS!N10)</f>
        <v>0</v>
      </c>
      <c r="P18" s="112">
        <f>-(BS!P10-BS!O10)</f>
        <v>0</v>
      </c>
      <c r="Q18" s="102">
        <f t="shared" si="0"/>
        <v>0</v>
      </c>
      <c r="R18" s="112">
        <f>-(BS!R10-BS!Q10)</f>
        <v>0</v>
      </c>
      <c r="S18" s="110">
        <f>-(BS!S10-BS!R10)</f>
        <v>0</v>
      </c>
      <c r="T18" s="110">
        <f>-(BS!T10-BS!S10)</f>
        <v>0</v>
      </c>
      <c r="U18" s="110">
        <f>-(BS!U10-BS!T10)</f>
        <v>0</v>
      </c>
      <c r="Z18" s="2"/>
    </row>
    <row r="19" spans="1:26" x14ac:dyDescent="0.25">
      <c r="A19" t="s">
        <v>46</v>
      </c>
      <c r="C19" s="70">
        <v>2169.0320000000002</v>
      </c>
      <c r="D19" s="70">
        <v>-4280.0159999999996</v>
      </c>
      <c r="E19" s="70">
        <v>1562.587</v>
      </c>
      <c r="F19" s="70">
        <v>1073.6379999999999</v>
      </c>
      <c r="G19" s="70">
        <v>3117</v>
      </c>
      <c r="H19" s="111"/>
      <c r="I19" s="112"/>
      <c r="J19" s="112"/>
      <c r="K19" s="113"/>
      <c r="L19" s="70">
        <v>521</v>
      </c>
      <c r="M19" s="112">
        <v>0</v>
      </c>
      <c r="N19" s="112">
        <v>0</v>
      </c>
      <c r="O19" s="112">
        <f>(BS!O23-BS!N23)</f>
        <v>5093.5684383561638</v>
      </c>
      <c r="P19" s="112">
        <f>(BS!P23-BS!O23)</f>
        <v>-794.95145205479639</v>
      </c>
      <c r="Q19" s="102">
        <f t="shared" si="0"/>
        <v>4298.6169863013674</v>
      </c>
      <c r="R19" s="112">
        <f>(BS!R23-BS!Q23)</f>
        <v>962.02237753424743</v>
      </c>
      <c r="S19" s="110">
        <f>(BS!S23-BS!R23)</f>
        <v>2852.655077342466</v>
      </c>
      <c r="T19" s="110">
        <f>(BS!T23-BS!S23)</f>
        <v>1154.9683210931471</v>
      </c>
      <c r="U19" s="110">
        <f>(BS!U23-BS!T23)</f>
        <v>4694.6283181905274</v>
      </c>
    </row>
    <row r="20" spans="1:26" x14ac:dyDescent="0.25">
      <c r="A20" t="s">
        <v>137</v>
      </c>
      <c r="C20" s="70">
        <v>491.26600000000002</v>
      </c>
      <c r="D20" s="70">
        <v>541</v>
      </c>
      <c r="E20" s="70">
        <v>0</v>
      </c>
      <c r="F20" s="70">
        <v>0</v>
      </c>
      <c r="G20" s="70">
        <v>-2174</v>
      </c>
      <c r="H20" s="111"/>
      <c r="I20" s="112"/>
      <c r="J20" s="112"/>
      <c r="K20" s="113"/>
      <c r="L20" s="70">
        <v>-1648</v>
      </c>
      <c r="M20" s="112">
        <v>0</v>
      </c>
      <c r="N20" s="112">
        <v>0</v>
      </c>
      <c r="O20" s="112">
        <v>0</v>
      </c>
      <c r="P20" s="112">
        <v>0</v>
      </c>
      <c r="Q20" s="102">
        <f t="shared" si="0"/>
        <v>0</v>
      </c>
      <c r="R20" s="112">
        <v>0</v>
      </c>
      <c r="S20" s="110">
        <v>0</v>
      </c>
      <c r="T20" s="110">
        <v>0</v>
      </c>
      <c r="U20" s="110">
        <v>0</v>
      </c>
    </row>
    <row r="21" spans="1:26" x14ac:dyDescent="0.25">
      <c r="A21" t="s">
        <v>112</v>
      </c>
      <c r="C21" s="70">
        <f>-350.257+176.448</f>
        <v>-173.809</v>
      </c>
      <c r="D21" s="70">
        <v>350.25700000000001</v>
      </c>
      <c r="E21" s="70">
        <v>-475.58800000000002</v>
      </c>
      <c r="F21" s="70">
        <v>6316.2539999999999</v>
      </c>
      <c r="G21" s="70">
        <v>-4122.991</v>
      </c>
      <c r="H21" s="111"/>
      <c r="I21" s="112"/>
      <c r="J21" s="112"/>
      <c r="K21" s="113"/>
      <c r="L21" s="70">
        <v>7178</v>
      </c>
      <c r="M21" s="112">
        <v>0</v>
      </c>
      <c r="N21" s="112">
        <v>0</v>
      </c>
      <c r="O21" s="112">
        <v>0</v>
      </c>
      <c r="P21" s="112">
        <v>0</v>
      </c>
      <c r="Q21" s="102">
        <f t="shared" si="0"/>
        <v>0</v>
      </c>
      <c r="R21" s="112">
        <v>0</v>
      </c>
      <c r="S21" s="110">
        <v>0</v>
      </c>
      <c r="T21" s="110">
        <v>0</v>
      </c>
      <c r="U21" s="110">
        <v>0</v>
      </c>
    </row>
    <row r="22" spans="1:26" x14ac:dyDescent="0.25">
      <c r="A22" s="2" t="s">
        <v>48</v>
      </c>
      <c r="C22" s="162">
        <f>SUM(C16:C21)+C15</f>
        <v>-2038.0879999999991</v>
      </c>
      <c r="D22" s="106">
        <f>SUM(D16:D21)+D15</f>
        <v>-6505.5159999999996</v>
      </c>
      <c r="E22" s="106">
        <f>SUM(E16:E21)+E15</f>
        <v>-5012.7389999999987</v>
      </c>
      <c r="F22" s="106">
        <f>SUM(F16:F21)+F15</f>
        <v>2790.7210000000005</v>
      </c>
      <c r="G22" s="269">
        <f>SUM(G16:G21)+G15</f>
        <v>-11005.991</v>
      </c>
      <c r="H22" s="107"/>
      <c r="I22" s="108"/>
      <c r="J22" s="108"/>
      <c r="K22" s="109"/>
      <c r="L22" s="106">
        <f>SUM(L16:L21)+L15</f>
        <v>5237</v>
      </c>
      <c r="M22" s="107">
        <f>SUM(M16:M21)+M15</f>
        <v>1320</v>
      </c>
      <c r="N22" s="108">
        <f>SUM(N16:N21)+N15</f>
        <v>6279</v>
      </c>
      <c r="O22" s="108">
        <f>SUM(O16:O21)+O15</f>
        <v>6088.6761993835644</v>
      </c>
      <c r="P22" s="108">
        <f>SUM(P16:P21)+P15</f>
        <v>671.39459072602676</v>
      </c>
      <c r="Q22" s="106">
        <f t="shared" si="0"/>
        <v>14359.070790109592</v>
      </c>
      <c r="R22" s="106">
        <f>SUM(R16:R21)+R15</f>
        <v>14373.710023928905</v>
      </c>
      <c r="S22" s="106">
        <f>SUM(S16:S21)+S15</f>
        <v>17423.953216507565</v>
      </c>
      <c r="T22" s="106">
        <f>SUM(T16:T21)+T15</f>
        <v>24601.863367784521</v>
      </c>
      <c r="U22" s="106">
        <f>SUM(U16:U21)+U15</f>
        <v>33156.895495686491</v>
      </c>
    </row>
    <row r="23" spans="1:26" ht="7.15" customHeight="1" x14ac:dyDescent="0.25">
      <c r="C23" s="102"/>
      <c r="D23" s="102"/>
      <c r="E23" s="102"/>
      <c r="F23" s="102"/>
      <c r="G23" s="102"/>
      <c r="H23" s="103"/>
      <c r="I23" s="104"/>
      <c r="J23" s="104"/>
      <c r="K23" s="105"/>
      <c r="L23" s="102"/>
      <c r="M23" s="38"/>
      <c r="N23" s="38"/>
      <c r="Q23" s="47"/>
      <c r="R23" s="47"/>
      <c r="S23" s="47"/>
      <c r="T23" s="47"/>
      <c r="U23" s="47"/>
    </row>
    <row r="24" spans="1:26" x14ac:dyDescent="0.25">
      <c r="A24" s="2" t="s">
        <v>68</v>
      </c>
      <c r="C24" s="102"/>
      <c r="D24" s="102"/>
      <c r="E24" s="102"/>
      <c r="F24" s="102"/>
      <c r="G24" s="102"/>
      <c r="H24" s="103"/>
      <c r="I24" s="104"/>
      <c r="J24" s="104"/>
      <c r="K24" s="105"/>
      <c r="L24" s="102"/>
      <c r="M24" s="38"/>
      <c r="N24" s="38"/>
      <c r="Q24" s="47"/>
      <c r="R24" s="47"/>
      <c r="S24" s="47"/>
      <c r="T24" s="47"/>
      <c r="U24" s="47"/>
    </row>
    <row r="25" spans="1:26" x14ac:dyDescent="0.25">
      <c r="A25" t="s">
        <v>93</v>
      </c>
      <c r="C25" s="70">
        <v>-1069.8679999999999</v>
      </c>
      <c r="D25" s="70">
        <v>-269.58100000000002</v>
      </c>
      <c r="E25" s="70">
        <v>-1643.0650000000001</v>
      </c>
      <c r="F25" s="70">
        <v>-2002.114</v>
      </c>
      <c r="G25" s="70">
        <v>-5498</v>
      </c>
      <c r="H25" s="92"/>
      <c r="I25" s="36"/>
      <c r="J25" s="36"/>
      <c r="K25" s="69"/>
      <c r="L25" s="70">
        <v>-5144</v>
      </c>
      <c r="M25" s="36">
        <v>-1588</v>
      </c>
      <c r="N25" s="36">
        <f>-4308-M25</f>
        <v>-2720</v>
      </c>
      <c r="O25" s="112">
        <f t="shared" ref="O25:P25" si="3">-O51</f>
        <v>-848.23199999999997</v>
      </c>
      <c r="P25" s="112">
        <f t="shared" si="3"/>
        <v>-673.39499999999998</v>
      </c>
      <c r="Q25" s="102">
        <f t="shared" ref="Q25:Q31" si="4">SUM(M25:P25)</f>
        <v>-5829.6270000000004</v>
      </c>
      <c r="R25" s="110">
        <f t="shared" ref="R25:U25" si="5">-R51</f>
        <v>-6996.9344199999996</v>
      </c>
      <c r="S25" s="110">
        <f t="shared" si="5"/>
        <v>-8064.016302</v>
      </c>
      <c r="T25" s="110">
        <f t="shared" si="5"/>
        <v>-8717.6400902500009</v>
      </c>
      <c r="U25" s="110">
        <f t="shared" si="5"/>
        <v>-8787.3812109720002</v>
      </c>
    </row>
    <row r="26" spans="1:26" x14ac:dyDescent="0.25">
      <c r="A26" t="s">
        <v>134</v>
      </c>
      <c r="C26" s="70">
        <v>864.88199999999995</v>
      </c>
      <c r="D26" s="70">
        <v>0</v>
      </c>
      <c r="E26" s="70">
        <v>995.93</v>
      </c>
      <c r="F26" s="70">
        <v>0</v>
      </c>
      <c r="G26" s="70">
        <v>0</v>
      </c>
      <c r="H26" s="92"/>
      <c r="I26" s="36"/>
      <c r="J26" s="36"/>
      <c r="K26" s="69"/>
      <c r="L26" s="70">
        <v>1778</v>
      </c>
      <c r="M26" s="36">
        <v>0</v>
      </c>
      <c r="N26" s="36">
        <v>0</v>
      </c>
      <c r="O26" s="36">
        <v>0</v>
      </c>
      <c r="P26" s="36">
        <v>0</v>
      </c>
      <c r="Q26" s="102">
        <f t="shared" si="4"/>
        <v>0</v>
      </c>
      <c r="R26" s="70">
        <v>0</v>
      </c>
      <c r="S26" s="70">
        <v>0</v>
      </c>
      <c r="T26" s="70">
        <v>0</v>
      </c>
      <c r="U26" s="70">
        <v>0</v>
      </c>
    </row>
    <row r="27" spans="1:26" x14ac:dyDescent="0.25">
      <c r="A27" t="s">
        <v>132</v>
      </c>
      <c r="C27" s="70">
        <v>0</v>
      </c>
      <c r="D27" s="70">
        <v>0</v>
      </c>
      <c r="E27" s="70">
        <v>0</v>
      </c>
      <c r="F27" s="70">
        <v>-176.34200000000001</v>
      </c>
      <c r="G27" s="70">
        <v>-34.701000000000001</v>
      </c>
      <c r="H27" s="92"/>
      <c r="I27" s="36"/>
      <c r="J27" s="36"/>
      <c r="K27" s="69"/>
      <c r="L27" s="70">
        <v>0</v>
      </c>
      <c r="M27" s="36">
        <v>0</v>
      </c>
      <c r="N27" s="36">
        <v>0</v>
      </c>
      <c r="O27" s="36">
        <v>0</v>
      </c>
      <c r="P27" s="36">
        <v>0</v>
      </c>
      <c r="Q27" s="102">
        <f t="shared" si="4"/>
        <v>0</v>
      </c>
      <c r="R27" s="70">
        <v>0</v>
      </c>
      <c r="S27" s="70">
        <v>0</v>
      </c>
      <c r="T27" s="70">
        <v>0</v>
      </c>
      <c r="U27" s="70">
        <v>0</v>
      </c>
    </row>
    <row r="28" spans="1:26" x14ac:dyDescent="0.25">
      <c r="A28" t="s">
        <v>133</v>
      </c>
      <c r="C28" s="70">
        <v>-176.96100000000001</v>
      </c>
      <c r="D28" s="70">
        <v>0</v>
      </c>
      <c r="E28" s="70">
        <v>0</v>
      </c>
      <c r="F28" s="70">
        <v>-1057.982</v>
      </c>
      <c r="G28" s="70">
        <v>1058</v>
      </c>
      <c r="H28" s="92"/>
      <c r="I28" s="36"/>
      <c r="J28" s="36"/>
      <c r="K28" s="69"/>
      <c r="L28" s="70">
        <v>0</v>
      </c>
      <c r="M28" s="36">
        <v>-2250</v>
      </c>
      <c r="N28" s="36">
        <f>-2250-M28</f>
        <v>0</v>
      </c>
      <c r="O28" s="36">
        <v>0</v>
      </c>
      <c r="P28" s="36">
        <v>0</v>
      </c>
      <c r="Q28" s="102">
        <f t="shared" si="4"/>
        <v>-2250</v>
      </c>
      <c r="R28" s="70">
        <v>0</v>
      </c>
      <c r="S28" s="70">
        <v>0</v>
      </c>
      <c r="T28" s="70">
        <v>0</v>
      </c>
      <c r="U28" s="70">
        <v>0</v>
      </c>
    </row>
    <row r="29" spans="1:26" x14ac:dyDescent="0.25">
      <c r="A29" t="s">
        <v>89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92"/>
      <c r="I29" s="36"/>
      <c r="J29" s="36"/>
      <c r="K29" s="69"/>
      <c r="L29" s="70">
        <v>0</v>
      </c>
      <c r="M29" s="36">
        <v>0</v>
      </c>
      <c r="N29" s="36">
        <v>0</v>
      </c>
      <c r="O29" s="36"/>
      <c r="P29" s="36"/>
      <c r="Q29" s="102">
        <f t="shared" si="4"/>
        <v>0</v>
      </c>
      <c r="R29" s="70">
        <v>0</v>
      </c>
      <c r="S29" s="70">
        <v>0</v>
      </c>
      <c r="T29" s="70">
        <v>0</v>
      </c>
      <c r="U29" s="70">
        <v>0</v>
      </c>
    </row>
    <row r="30" spans="1:26" x14ac:dyDescent="0.25">
      <c r="A30" t="s">
        <v>69</v>
      </c>
      <c r="C30" s="70">
        <v>0</v>
      </c>
      <c r="D30" s="70">
        <v>599.32399999999996</v>
      </c>
      <c r="E30" s="70">
        <v>-367.45</v>
      </c>
      <c r="F30" s="70">
        <v>0</v>
      </c>
      <c r="G30" s="70">
        <f>-210-2559</f>
        <v>-2769</v>
      </c>
      <c r="H30" s="92"/>
      <c r="I30" s="36"/>
      <c r="J30" s="36"/>
      <c r="K30" s="69"/>
      <c r="L30" s="70">
        <v>0</v>
      </c>
      <c r="M30" s="36">
        <v>0</v>
      </c>
      <c r="N30" s="36">
        <v>0</v>
      </c>
      <c r="O30" s="139">
        <v>0</v>
      </c>
      <c r="P30" s="139">
        <v>0</v>
      </c>
      <c r="Q30" s="102">
        <f t="shared" si="4"/>
        <v>0</v>
      </c>
      <c r="R30" s="140">
        <v>0</v>
      </c>
      <c r="S30" s="140">
        <v>0</v>
      </c>
      <c r="T30" s="140">
        <v>0</v>
      </c>
      <c r="U30" s="140">
        <v>0</v>
      </c>
    </row>
    <row r="31" spans="1:26" x14ac:dyDescent="0.25">
      <c r="A31" s="2" t="s">
        <v>74</v>
      </c>
      <c r="C31" s="162">
        <f>SUM(C25:C30)</f>
        <v>-381.947</v>
      </c>
      <c r="D31" s="106">
        <f>SUM(D25:D30)</f>
        <v>329.74299999999994</v>
      </c>
      <c r="E31" s="106">
        <f>SUM(E25:E30)</f>
        <v>-1014.585</v>
      </c>
      <c r="F31" s="106">
        <f>SUM(F25:F30)</f>
        <v>-3236.4380000000001</v>
      </c>
      <c r="G31" s="269">
        <f>SUM(G25:G30)</f>
        <v>-7243.701</v>
      </c>
      <c r="H31" s="107"/>
      <c r="I31" s="108"/>
      <c r="J31" s="108"/>
      <c r="K31" s="109"/>
      <c r="L31" s="106">
        <f>SUM(L25:L30)</f>
        <v>-3366</v>
      </c>
      <c r="M31" s="107">
        <f t="shared" ref="M31:N31" si="6">SUM(M25:M30)</f>
        <v>-3838</v>
      </c>
      <c r="N31" s="108">
        <f t="shared" si="6"/>
        <v>-2720</v>
      </c>
      <c r="O31" s="108">
        <f t="shared" ref="O31:P31" si="7">SUM(O25:O30)</f>
        <v>-848.23199999999997</v>
      </c>
      <c r="P31" s="108">
        <f t="shared" si="7"/>
        <v>-673.39499999999998</v>
      </c>
      <c r="Q31" s="106">
        <f t="shared" si="4"/>
        <v>-8079.6270000000004</v>
      </c>
      <c r="R31" s="106">
        <f t="shared" ref="R31:U31" si="8">SUM(R25:R30)</f>
        <v>-6996.9344199999996</v>
      </c>
      <c r="S31" s="106">
        <f t="shared" si="8"/>
        <v>-8064.016302</v>
      </c>
      <c r="T31" s="106">
        <f t="shared" si="8"/>
        <v>-8717.6400902500009</v>
      </c>
      <c r="U31" s="106">
        <f t="shared" si="8"/>
        <v>-8787.3812109720002</v>
      </c>
    </row>
    <row r="32" spans="1:26" ht="12" customHeight="1" x14ac:dyDescent="0.25">
      <c r="C32" s="102"/>
      <c r="D32" s="102"/>
      <c r="E32" s="102"/>
      <c r="F32" s="102"/>
      <c r="G32" s="102"/>
      <c r="H32" s="103"/>
      <c r="I32" s="104"/>
      <c r="J32" s="104"/>
      <c r="K32" s="105"/>
      <c r="L32" s="102"/>
      <c r="Q32" s="47"/>
      <c r="R32" s="47"/>
      <c r="S32" s="47"/>
      <c r="T32" s="47"/>
      <c r="U32" s="47"/>
    </row>
    <row r="33" spans="1:23" x14ac:dyDescent="0.25">
      <c r="A33" s="2" t="s">
        <v>70</v>
      </c>
      <c r="C33" s="102"/>
      <c r="D33" s="102"/>
      <c r="E33" s="102"/>
      <c r="F33" s="102"/>
      <c r="G33" s="102"/>
      <c r="H33" s="103"/>
      <c r="I33" s="104"/>
      <c r="J33" s="104"/>
      <c r="K33" s="105"/>
      <c r="L33" s="102"/>
      <c r="Q33" s="47"/>
      <c r="R33" s="47"/>
      <c r="S33" s="47"/>
      <c r="T33" s="47"/>
      <c r="U33" s="47"/>
    </row>
    <row r="34" spans="1:23" x14ac:dyDescent="0.25">
      <c r="A34" t="s">
        <v>135</v>
      </c>
      <c r="C34" s="70">
        <f>2125.199+100+17-85.882</f>
        <v>2156.317</v>
      </c>
      <c r="D34" s="70">
        <f>9805.26+2242.177-615.351</f>
        <v>11432.085999999999</v>
      </c>
      <c r="E34" s="70">
        <f>3241.433+157.62-41.344</f>
        <v>3357.7089999999998</v>
      </c>
      <c r="F34" s="70">
        <f>1225.743+10385-946.407</f>
        <v>10664.336000000001</v>
      </c>
      <c r="G34" s="70">
        <f>10000+304-1090</f>
        <v>9214</v>
      </c>
      <c r="H34" s="92"/>
      <c r="I34" s="36"/>
      <c r="J34" s="36"/>
      <c r="K34" s="69"/>
      <c r="L34" s="70">
        <f>135</f>
        <v>135</v>
      </c>
      <c r="M34" s="36">
        <v>14</v>
      </c>
      <c r="N34" s="36">
        <f>38-M34</f>
        <v>24</v>
      </c>
      <c r="O34" s="36">
        <v>0</v>
      </c>
      <c r="P34" s="36">
        <v>0</v>
      </c>
      <c r="Q34" s="102">
        <f t="shared" ref="Q34:Q42" si="9">SUM(M34:P34)</f>
        <v>38</v>
      </c>
      <c r="R34" s="70">
        <v>0</v>
      </c>
      <c r="S34" s="70">
        <v>0</v>
      </c>
      <c r="T34" s="70">
        <v>0</v>
      </c>
      <c r="U34" s="70">
        <v>0</v>
      </c>
      <c r="V34" s="37"/>
      <c r="W34" s="37"/>
    </row>
    <row r="35" spans="1:23" x14ac:dyDescent="0.25">
      <c r="A35" t="s">
        <v>71</v>
      </c>
      <c r="C35" s="70">
        <v>0</v>
      </c>
      <c r="D35" s="70">
        <v>0</v>
      </c>
      <c r="E35" s="70">
        <v>0</v>
      </c>
      <c r="F35" s="70">
        <v>0</v>
      </c>
      <c r="G35" s="70">
        <f>-55-63</f>
        <v>-118</v>
      </c>
      <c r="H35" s="92"/>
      <c r="I35" s="36"/>
      <c r="J35" s="36"/>
      <c r="K35" s="69"/>
      <c r="L35" s="70">
        <f>-277-64</f>
        <v>-341</v>
      </c>
      <c r="M35" s="36">
        <f>-15-366</f>
        <v>-381</v>
      </c>
      <c r="N35" s="36">
        <f>-929-24-M35</f>
        <v>-572</v>
      </c>
      <c r="O35" s="139">
        <v>0</v>
      </c>
      <c r="P35" s="139">
        <v>0</v>
      </c>
      <c r="Q35" s="102">
        <f t="shared" si="9"/>
        <v>-953</v>
      </c>
      <c r="R35" s="140">
        <v>0</v>
      </c>
      <c r="S35" s="140">
        <v>0</v>
      </c>
      <c r="T35" s="140">
        <v>0</v>
      </c>
      <c r="U35" s="140">
        <v>0</v>
      </c>
      <c r="V35" s="37"/>
      <c r="W35" s="37"/>
    </row>
    <row r="36" spans="1:23" x14ac:dyDescent="0.25">
      <c r="A36" t="s">
        <v>72</v>
      </c>
      <c r="C36" s="70">
        <v>0</v>
      </c>
      <c r="D36" s="70">
        <v>0</v>
      </c>
      <c r="E36" s="70">
        <v>0</v>
      </c>
      <c r="F36" s="70">
        <v>205.119</v>
      </c>
      <c r="G36" s="70">
        <v>1137</v>
      </c>
      <c r="H36" s="92"/>
      <c r="I36" s="36"/>
      <c r="J36" s="36"/>
      <c r="K36" s="69"/>
      <c r="L36" s="70">
        <v>112</v>
      </c>
      <c r="M36" s="36">
        <v>183</v>
      </c>
      <c r="N36" s="36">
        <f>183-M36</f>
        <v>0</v>
      </c>
      <c r="O36" s="139">
        <v>0</v>
      </c>
      <c r="P36" s="139">
        <v>0</v>
      </c>
      <c r="Q36" s="102">
        <f t="shared" si="9"/>
        <v>183</v>
      </c>
      <c r="R36" s="140">
        <v>0</v>
      </c>
      <c r="S36" s="140">
        <v>0</v>
      </c>
      <c r="T36" s="140">
        <v>0</v>
      </c>
      <c r="U36" s="140">
        <v>0</v>
      </c>
      <c r="V36" s="37"/>
      <c r="W36" s="37"/>
    </row>
    <row r="37" spans="1:23" x14ac:dyDescent="0.25">
      <c r="A37" t="s">
        <v>136</v>
      </c>
      <c r="C37" s="70">
        <v>176.44800000000001</v>
      </c>
      <c r="D37" s="70">
        <v>-326.44799999999998</v>
      </c>
      <c r="E37" s="70">
        <v>0</v>
      </c>
      <c r="F37" s="70">
        <v>709.09799999999996</v>
      </c>
      <c r="G37" s="70">
        <f>-1450+4234.39</f>
        <v>2784.3900000000003</v>
      </c>
      <c r="H37" s="92"/>
      <c r="I37" s="36"/>
      <c r="J37" s="36"/>
      <c r="K37" s="69"/>
      <c r="L37" s="70">
        <f>1412</f>
        <v>1412</v>
      </c>
      <c r="M37" s="36">
        <v>-1207</v>
      </c>
      <c r="N37" s="36">
        <f>-1161-M37</f>
        <v>46</v>
      </c>
      <c r="O37" s="139">
        <v>0</v>
      </c>
      <c r="P37" s="139">
        <v>0</v>
      </c>
      <c r="Q37" s="102">
        <f t="shared" si="9"/>
        <v>-1161</v>
      </c>
      <c r="R37" s="140">
        <v>0</v>
      </c>
      <c r="S37" s="140">
        <v>0</v>
      </c>
      <c r="T37" s="140">
        <v>0</v>
      </c>
      <c r="U37" s="140">
        <v>0</v>
      </c>
      <c r="V37" s="37"/>
      <c r="W37" s="37"/>
    </row>
    <row r="38" spans="1:23" x14ac:dyDescent="0.25">
      <c r="A38" t="s">
        <v>102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92"/>
      <c r="I38" s="36"/>
      <c r="J38" s="36"/>
      <c r="K38" s="69"/>
      <c r="L38" s="70">
        <v>0</v>
      </c>
      <c r="M38" s="36">
        <v>0</v>
      </c>
      <c r="N38" s="36">
        <v>0</v>
      </c>
      <c r="O38" s="139">
        <v>0</v>
      </c>
      <c r="P38" s="139">
        <v>0</v>
      </c>
      <c r="Q38" s="102">
        <f t="shared" si="9"/>
        <v>0</v>
      </c>
      <c r="R38" s="140">
        <v>0</v>
      </c>
      <c r="S38" s="140">
        <v>0</v>
      </c>
      <c r="T38" s="140">
        <v>0</v>
      </c>
      <c r="U38" s="140">
        <v>0</v>
      </c>
      <c r="V38" s="37"/>
      <c r="W38" s="37"/>
    </row>
    <row r="39" spans="1:23" x14ac:dyDescent="0.25">
      <c r="A39" t="s">
        <v>101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92"/>
      <c r="I39" s="36"/>
      <c r="J39" s="36"/>
      <c r="K39" s="69"/>
      <c r="L39" s="70">
        <v>0</v>
      </c>
      <c r="M39" s="36">
        <v>0</v>
      </c>
      <c r="N39" s="36">
        <v>0</v>
      </c>
      <c r="O39" s="139">
        <v>0</v>
      </c>
      <c r="P39" s="139">
        <v>0</v>
      </c>
      <c r="Q39" s="102">
        <f t="shared" si="9"/>
        <v>0</v>
      </c>
      <c r="R39" s="140">
        <v>0</v>
      </c>
      <c r="S39" s="140">
        <v>0</v>
      </c>
      <c r="T39" s="140">
        <v>0</v>
      </c>
      <c r="U39" s="140">
        <v>0</v>
      </c>
      <c r="V39" s="37"/>
      <c r="W39" s="37"/>
    </row>
    <row r="40" spans="1:23" x14ac:dyDescent="0.25">
      <c r="A40" t="s">
        <v>103</v>
      </c>
      <c r="C40" s="70">
        <v>0</v>
      </c>
      <c r="D40" s="70">
        <v>0</v>
      </c>
      <c r="E40" s="70">
        <v>-248.21700000000001</v>
      </c>
      <c r="F40" s="70">
        <v>-475.14299999999997</v>
      </c>
      <c r="G40" s="70">
        <f>-737-357</f>
        <v>-1094</v>
      </c>
      <c r="H40" s="92"/>
      <c r="I40" s="36"/>
      <c r="J40" s="36"/>
      <c r="K40" s="69"/>
      <c r="L40" s="70">
        <f>-1032-327</f>
        <v>-1359</v>
      </c>
      <c r="M40" s="36">
        <f>-212-76</f>
        <v>-288</v>
      </c>
      <c r="N40" s="36">
        <f>-393-161-M40</f>
        <v>-266</v>
      </c>
      <c r="O40" s="36">
        <v>0</v>
      </c>
      <c r="P40" s="36">
        <v>0</v>
      </c>
      <c r="Q40" s="102">
        <f t="shared" si="9"/>
        <v>-554</v>
      </c>
      <c r="R40" s="70">
        <v>0</v>
      </c>
      <c r="S40" s="70">
        <v>0</v>
      </c>
      <c r="T40" s="70">
        <v>0</v>
      </c>
      <c r="U40" s="70">
        <v>0</v>
      </c>
      <c r="V40" s="37"/>
      <c r="W40" s="37"/>
    </row>
    <row r="41" spans="1:23" x14ac:dyDescent="0.25">
      <c r="A41" s="2" t="s">
        <v>73</v>
      </c>
      <c r="C41" s="162">
        <f>SUM(C34:C40)</f>
        <v>2332.7649999999999</v>
      </c>
      <c r="D41" s="106">
        <f>SUM(D34:D40)</f>
        <v>11105.637999999999</v>
      </c>
      <c r="E41" s="106">
        <f>SUM(E34:E40)</f>
        <v>3109.4919999999997</v>
      </c>
      <c r="F41" s="106">
        <f>SUM(F34:F40)</f>
        <v>11103.410000000002</v>
      </c>
      <c r="G41" s="269">
        <f>SUM(G34:G40)</f>
        <v>11923.39</v>
      </c>
      <c r="H41" s="107"/>
      <c r="I41" s="108"/>
      <c r="J41" s="108"/>
      <c r="K41" s="109"/>
      <c r="L41" s="106">
        <f t="shared" ref="L41:U41" si="10">SUM(L34:L40)</f>
        <v>-41</v>
      </c>
      <c r="M41" s="107">
        <f t="shared" si="10"/>
        <v>-1679</v>
      </c>
      <c r="N41" s="108">
        <f t="shared" ref="N41" si="11">SUM(N34:N40)</f>
        <v>-768</v>
      </c>
      <c r="O41" s="108">
        <f t="shared" si="10"/>
        <v>0</v>
      </c>
      <c r="P41" s="108">
        <f t="shared" si="10"/>
        <v>0</v>
      </c>
      <c r="Q41" s="106">
        <f t="shared" si="9"/>
        <v>-2447</v>
      </c>
      <c r="R41" s="106">
        <f t="shared" si="10"/>
        <v>0</v>
      </c>
      <c r="S41" s="106">
        <f t="shared" si="10"/>
        <v>0</v>
      </c>
      <c r="T41" s="106">
        <f t="shared" si="10"/>
        <v>0</v>
      </c>
      <c r="U41" s="106">
        <f t="shared" si="10"/>
        <v>0</v>
      </c>
    </row>
    <row r="42" spans="1:23" x14ac:dyDescent="0.25">
      <c r="A42" t="s">
        <v>98</v>
      </c>
      <c r="C42" s="164">
        <v>1.62</v>
      </c>
      <c r="D42" s="164"/>
      <c r="E42" s="199">
        <v>85.165999999999997</v>
      </c>
      <c r="F42" s="199">
        <v>169.61699999999999</v>
      </c>
      <c r="G42" s="270">
        <v>156.09200000000001</v>
      </c>
      <c r="H42" s="200"/>
      <c r="I42" s="201"/>
      <c r="J42" s="201"/>
      <c r="K42" s="202"/>
      <c r="L42" s="199">
        <v>-319</v>
      </c>
      <c r="M42" s="92">
        <v>-145</v>
      </c>
      <c r="N42" s="36">
        <f>-143-M42</f>
        <v>2</v>
      </c>
      <c r="O42" s="36">
        <v>0</v>
      </c>
      <c r="P42" s="36">
        <v>0</v>
      </c>
      <c r="Q42" s="102">
        <f t="shared" si="9"/>
        <v>-143</v>
      </c>
      <c r="R42" s="102">
        <v>0</v>
      </c>
      <c r="S42" s="102">
        <v>0</v>
      </c>
      <c r="T42" s="102">
        <v>0</v>
      </c>
      <c r="U42" s="102">
        <v>0</v>
      </c>
    </row>
    <row r="43" spans="1:23" ht="6" customHeight="1" x14ac:dyDescent="0.25">
      <c r="C43" s="47"/>
      <c r="D43" s="47"/>
      <c r="E43" s="47"/>
      <c r="F43" s="47"/>
      <c r="G43" s="47"/>
      <c r="H43" s="16"/>
      <c r="K43" s="43"/>
      <c r="L43" s="47"/>
      <c r="Q43" s="47"/>
      <c r="R43" s="47"/>
      <c r="S43" s="47"/>
      <c r="T43" s="47"/>
      <c r="U43" s="47"/>
    </row>
    <row r="44" spans="1:23" s="41" customFormat="1" x14ac:dyDescent="0.25">
      <c r="A44" s="41" t="s">
        <v>75</v>
      </c>
      <c r="C44" s="162">
        <f>C41+C31+C22+C42</f>
        <v>-85.649999999999295</v>
      </c>
      <c r="D44" s="162">
        <f>D41+D31+D22+D42</f>
        <v>4929.8649999999998</v>
      </c>
      <c r="E44" s="162">
        <f>E41+E31+E22+E42</f>
        <v>-2832.6659999999988</v>
      </c>
      <c r="F44" s="162">
        <f>F41+F31+F22+F42</f>
        <v>10827.310000000003</v>
      </c>
      <c r="G44" s="162">
        <f t="shared" ref="G44:U44" si="12">G41+G31+G22+G42</f>
        <v>-6170.2100000000009</v>
      </c>
      <c r="H44" s="263"/>
      <c r="I44" s="264"/>
      <c r="J44" s="264"/>
      <c r="K44" s="265"/>
      <c r="L44" s="162">
        <f t="shared" si="12"/>
        <v>1511</v>
      </c>
      <c r="M44" s="115">
        <f t="shared" si="12"/>
        <v>-4342</v>
      </c>
      <c r="N44" s="116">
        <f t="shared" si="12"/>
        <v>2793</v>
      </c>
      <c r="O44" s="116">
        <f t="shared" si="12"/>
        <v>5240.4441993835644</v>
      </c>
      <c r="P44" s="116">
        <f t="shared" si="12"/>
        <v>-2.0004092739732187</v>
      </c>
      <c r="Q44" s="114">
        <f t="shared" si="12"/>
        <v>3689.4437901095916</v>
      </c>
      <c r="R44" s="114">
        <f t="shared" si="12"/>
        <v>7376.7756039289052</v>
      </c>
      <c r="S44" s="114">
        <f t="shared" si="12"/>
        <v>9359.9369145075652</v>
      </c>
      <c r="T44" s="114">
        <f t="shared" si="12"/>
        <v>15884.22327753452</v>
      </c>
      <c r="U44" s="114">
        <f t="shared" si="12"/>
        <v>24369.514284714489</v>
      </c>
    </row>
    <row r="45" spans="1:23" s="33" customFormat="1" x14ac:dyDescent="0.25">
      <c r="A45" s="33" t="s">
        <v>76</v>
      </c>
      <c r="C45" s="120"/>
      <c r="D45" s="163"/>
      <c r="E45" s="163">
        <f>D46</f>
        <v>4929.8649999999998</v>
      </c>
      <c r="F45" s="163">
        <f>E46</f>
        <v>2097.199000000001</v>
      </c>
      <c r="G45" s="163">
        <f>F46</f>
        <v>12924.509000000004</v>
      </c>
      <c r="H45" s="266"/>
      <c r="I45" s="267"/>
      <c r="J45" s="267"/>
      <c r="K45" s="268"/>
      <c r="L45" s="163">
        <f>G46</f>
        <v>6754.2990000000027</v>
      </c>
      <c r="M45" s="118">
        <f>L46</f>
        <v>8264.5090000000018</v>
      </c>
      <c r="N45" s="119">
        <f>M46</f>
        <v>3923.0000000000018</v>
      </c>
      <c r="O45" s="119">
        <f t="shared" ref="O45" si="13">N46</f>
        <v>6716.0000000000018</v>
      </c>
      <c r="P45" s="119">
        <f t="shared" ref="P45" si="14">O46</f>
        <v>11956.444199383566</v>
      </c>
      <c r="Q45" s="117">
        <f>M45</f>
        <v>8264.5090000000018</v>
      </c>
      <c r="R45" s="117">
        <f t="shared" ref="R45:U45" si="15">Q46</f>
        <v>11954.443790109593</v>
      </c>
      <c r="S45" s="117">
        <f t="shared" si="15"/>
        <v>19331.219394038497</v>
      </c>
      <c r="T45" s="117">
        <f t="shared" si="15"/>
        <v>28691.156308546062</v>
      </c>
      <c r="U45" s="117">
        <f t="shared" si="15"/>
        <v>44575.379586080584</v>
      </c>
    </row>
    <row r="46" spans="1:23" s="41" customFormat="1" x14ac:dyDescent="0.25">
      <c r="A46" s="41" t="s">
        <v>77</v>
      </c>
      <c r="C46" s="114">
        <f>SUM(C44:C45)</f>
        <v>-85.649999999999295</v>
      </c>
      <c r="D46" s="162">
        <f>SUM(D44:D45)</f>
        <v>4929.8649999999998</v>
      </c>
      <c r="E46" s="162">
        <f>SUM(E44:E45)</f>
        <v>2097.199000000001</v>
      </c>
      <c r="F46" s="162">
        <f>SUM(F44:F45)</f>
        <v>12924.509000000004</v>
      </c>
      <c r="G46" s="265">
        <f t="shared" ref="G46:U46" si="16">SUM(G44:G45)</f>
        <v>6754.2990000000027</v>
      </c>
      <c r="H46" s="264"/>
      <c r="I46" s="264"/>
      <c r="J46" s="264"/>
      <c r="K46" s="265"/>
      <c r="L46" s="265">
        <f>SUM(L44:L45)-0.79</f>
        <v>8264.5090000000018</v>
      </c>
      <c r="M46" s="115">
        <f>SUM(M44:M45)+0.491</f>
        <v>3923.0000000000018</v>
      </c>
      <c r="N46" s="116">
        <f>SUM(N44:N45)</f>
        <v>6716.0000000000018</v>
      </c>
      <c r="O46" s="116">
        <f t="shared" ref="O46:P46" si="17">SUM(O44:O45)</f>
        <v>11956.444199383566</v>
      </c>
      <c r="P46" s="116">
        <f t="shared" si="17"/>
        <v>11954.443790109593</v>
      </c>
      <c r="Q46" s="115">
        <f>SUM(Q44:Q45)+0.491</f>
        <v>11954.443790109593</v>
      </c>
      <c r="R46" s="114">
        <f t="shared" si="16"/>
        <v>19331.219394038497</v>
      </c>
      <c r="S46" s="114">
        <f t="shared" si="16"/>
        <v>28691.156308546062</v>
      </c>
      <c r="T46" s="114">
        <f t="shared" si="16"/>
        <v>44575.379586080584</v>
      </c>
      <c r="U46" s="114">
        <f t="shared" si="16"/>
        <v>68944.893870795073</v>
      </c>
    </row>
    <row r="47" spans="1:23" ht="7.9" customHeight="1" x14ac:dyDescent="0.25">
      <c r="C47" s="47"/>
      <c r="D47" s="47"/>
      <c r="E47" s="47"/>
      <c r="F47" s="47"/>
      <c r="L47" s="47"/>
      <c r="Q47" s="16"/>
      <c r="R47" s="47"/>
      <c r="S47" s="47"/>
      <c r="T47" s="47"/>
      <c r="U47" s="43"/>
    </row>
    <row r="48" spans="1:23" x14ac:dyDescent="0.25">
      <c r="A48" s="40"/>
      <c r="B48" s="40"/>
      <c r="C48" s="72"/>
      <c r="D48" s="72"/>
      <c r="E48" s="72"/>
      <c r="F48" s="72"/>
      <c r="G48" s="40"/>
      <c r="H48" s="40"/>
      <c r="I48" s="40"/>
      <c r="J48" s="40"/>
      <c r="K48" s="40"/>
      <c r="L48" s="72"/>
      <c r="M48" s="40"/>
      <c r="N48" s="40"/>
      <c r="O48" s="40"/>
      <c r="P48" s="40"/>
      <c r="Q48" s="73"/>
      <c r="R48" s="72"/>
      <c r="S48" s="72"/>
      <c r="T48" s="72"/>
      <c r="U48" s="71"/>
    </row>
    <row r="49" spans="1:21" x14ac:dyDescent="0.25">
      <c r="A49" s="2" t="s">
        <v>79</v>
      </c>
      <c r="C49" s="47"/>
      <c r="D49" s="47"/>
      <c r="E49" s="47"/>
      <c r="F49" s="47"/>
      <c r="L49" s="47"/>
      <c r="Q49" s="16"/>
      <c r="R49" s="47"/>
      <c r="S49" s="47"/>
      <c r="T49" s="47"/>
      <c r="U49" s="43"/>
    </row>
    <row r="50" spans="1:21" x14ac:dyDescent="0.25">
      <c r="A50" t="s">
        <v>0</v>
      </c>
      <c r="C50" s="48">
        <f>IS!C16</f>
        <v>3533.605</v>
      </c>
      <c r="D50" s="48">
        <f>IS!D16</f>
        <v>6707.9559999999992</v>
      </c>
      <c r="E50" s="48">
        <f>IS!E16</f>
        <v>15145.976000000001</v>
      </c>
      <c r="F50" s="48">
        <f>IS!F16</f>
        <v>12274.898999999999</v>
      </c>
      <c r="G50" s="5">
        <f>IS!G16</f>
        <v>25629</v>
      </c>
      <c r="H50" s="5"/>
      <c r="I50" s="5"/>
      <c r="J50" s="5"/>
      <c r="K50" s="5"/>
      <c r="L50" s="48">
        <f>IS!L16</f>
        <v>40908</v>
      </c>
      <c r="M50" s="5">
        <f>IS!M16</f>
        <v>7578</v>
      </c>
      <c r="N50" s="5">
        <f>[1]IS!N16</f>
        <v>13655</v>
      </c>
      <c r="O50" s="5">
        <f>IS!O16</f>
        <v>28274.400000000001</v>
      </c>
      <c r="P50" s="5">
        <f>IS!P16</f>
        <v>22446.5</v>
      </c>
      <c r="Q50" s="58">
        <f>SUM(M50:P50)</f>
        <v>71953.899999999994</v>
      </c>
      <c r="R50" s="48">
        <f>IS!R16</f>
        <v>99956.205999999991</v>
      </c>
      <c r="S50" s="48">
        <f>IS!S16</f>
        <v>134400.27170000001</v>
      </c>
      <c r="T50" s="48">
        <f>IS!T16</f>
        <v>174352.801805</v>
      </c>
      <c r="U50" s="148">
        <f>IS!U16</f>
        <v>219684.53027430002</v>
      </c>
    </row>
    <row r="51" spans="1:21" x14ac:dyDescent="0.25">
      <c r="A51" t="str">
        <f>A25</f>
        <v>Purchase of PPE</v>
      </c>
      <c r="C51" s="48">
        <f>-C25</f>
        <v>1069.8679999999999</v>
      </c>
      <c r="D51" s="48">
        <f>-D25</f>
        <v>269.58100000000002</v>
      </c>
      <c r="E51" s="48">
        <f>-E25</f>
        <v>1643.0650000000001</v>
      </c>
      <c r="F51" s="48">
        <f>-F25</f>
        <v>2002.114</v>
      </c>
      <c r="G51" s="5">
        <f>-G25</f>
        <v>5498</v>
      </c>
      <c r="H51" s="5"/>
      <c r="I51" s="5"/>
      <c r="J51" s="5"/>
      <c r="K51" s="5"/>
      <c r="L51" s="48">
        <f>-L25</f>
        <v>5144</v>
      </c>
      <c r="M51" s="5">
        <f>-M25</f>
        <v>1588</v>
      </c>
      <c r="N51" s="5">
        <f>-N25</f>
        <v>2720</v>
      </c>
      <c r="O51" s="5">
        <f>O50*O53</f>
        <v>848.23199999999997</v>
      </c>
      <c r="P51" s="5">
        <f>P50*P53</f>
        <v>673.39499999999998</v>
      </c>
      <c r="Q51" s="58">
        <f>SUM(M51:P51)</f>
        <v>5829.6270000000004</v>
      </c>
      <c r="R51" s="48">
        <f t="shared" ref="R51:U51" si="18">R50*R53</f>
        <v>6996.9344199999996</v>
      </c>
      <c r="S51" s="48">
        <f t="shared" si="18"/>
        <v>8064.016302</v>
      </c>
      <c r="T51" s="48">
        <f t="shared" si="18"/>
        <v>8717.6400902500009</v>
      </c>
      <c r="U51" s="148">
        <f t="shared" si="18"/>
        <v>8787.3812109720002</v>
      </c>
    </row>
    <row r="52" spans="1:21" x14ac:dyDescent="0.25">
      <c r="A52" t="str">
        <f>A27</f>
        <v>Increase in intangibles</v>
      </c>
      <c r="C52" s="48">
        <f>-C27</f>
        <v>0</v>
      </c>
      <c r="D52" s="48">
        <f t="shared" ref="D52:G52" si="19">-D27</f>
        <v>0</v>
      </c>
      <c r="E52" s="48">
        <f t="shared" si="19"/>
        <v>0</v>
      </c>
      <c r="F52" s="48">
        <f t="shared" si="19"/>
        <v>176.34200000000001</v>
      </c>
      <c r="G52" s="48">
        <f t="shared" si="19"/>
        <v>34.701000000000001</v>
      </c>
      <c r="H52" s="5"/>
      <c r="I52" s="5"/>
      <c r="J52" s="5"/>
      <c r="K52" s="5"/>
      <c r="L52" s="48">
        <f t="shared" ref="L52:U52" si="20">-L27</f>
        <v>0</v>
      </c>
      <c r="M52" s="58">
        <f t="shared" si="20"/>
        <v>0</v>
      </c>
      <c r="N52" s="5">
        <f t="shared" si="20"/>
        <v>0</v>
      </c>
      <c r="O52" s="5">
        <f t="shared" si="20"/>
        <v>0</v>
      </c>
      <c r="P52" s="5">
        <f t="shared" si="20"/>
        <v>0</v>
      </c>
      <c r="Q52" s="58">
        <f>SUM(M52:P52)</f>
        <v>0</v>
      </c>
      <c r="R52" s="48">
        <f t="shared" si="20"/>
        <v>0</v>
      </c>
      <c r="S52" s="48">
        <f t="shared" si="20"/>
        <v>0</v>
      </c>
      <c r="T52" s="48">
        <f t="shared" si="20"/>
        <v>0</v>
      </c>
      <c r="U52" s="48">
        <f t="shared" si="20"/>
        <v>0</v>
      </c>
    </row>
    <row r="53" spans="1:21" x14ac:dyDescent="0.25">
      <c r="A53" s="3" t="s">
        <v>80</v>
      </c>
      <c r="C53" s="46">
        <f>(C52+C51)/C50</f>
        <v>0.30276955120903437</v>
      </c>
      <c r="D53" s="46">
        <f>(D52+D51)/D50</f>
        <v>4.0188248104191505E-2</v>
      </c>
      <c r="E53" s="46">
        <f>(E52+E51)/E50</f>
        <v>0.10848194926494008</v>
      </c>
      <c r="F53" s="46">
        <f>(F52+F51)/F50</f>
        <v>0.17747241749198917</v>
      </c>
      <c r="G53" s="46">
        <f>(G52+G51)/G50</f>
        <v>0.21587658511842053</v>
      </c>
      <c r="H53" s="1"/>
      <c r="I53" s="60"/>
      <c r="J53" s="60"/>
      <c r="K53" s="1"/>
      <c r="L53" s="46">
        <f>(L52+L51)/L50</f>
        <v>0.12574557543756723</v>
      </c>
      <c r="M53" s="59">
        <f>(M52+M51)/M50</f>
        <v>0.2095539720242808</v>
      </c>
      <c r="N53" s="60">
        <f>(N52+N51)/N50</f>
        <v>0.19919443427316003</v>
      </c>
      <c r="O53" s="42">
        <v>0.03</v>
      </c>
      <c r="P53" s="42">
        <v>0.03</v>
      </c>
      <c r="Q53" s="46"/>
      <c r="R53" s="74">
        <v>7.0000000000000007E-2</v>
      </c>
      <c r="S53" s="74">
        <v>0.06</v>
      </c>
      <c r="T53" s="74">
        <v>0.05</v>
      </c>
      <c r="U53" s="74">
        <v>0.04</v>
      </c>
    </row>
    <row r="54" spans="1:21" x14ac:dyDescent="0.25">
      <c r="C54" s="47"/>
      <c r="D54" s="47"/>
      <c r="E54" s="47"/>
      <c r="F54" s="47"/>
      <c r="L54" s="47"/>
      <c r="Q54" s="16"/>
      <c r="R54" s="47"/>
      <c r="S54" s="47"/>
      <c r="T54" s="47"/>
      <c r="U54" s="43"/>
    </row>
  </sheetData>
  <pageMargins left="0.7" right="0.7" top="0.75" bottom="0.75" header="0.3" footer="0.3"/>
  <pageSetup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59197-01B7-4609-9C94-745599B0E762}">
  <dimension ref="D2:J6"/>
  <sheetViews>
    <sheetView showGridLines="0" zoomScale="115" zoomScaleNormal="115" workbookViewId="0"/>
  </sheetViews>
  <sheetFormatPr defaultRowHeight="15" x14ac:dyDescent="0.25"/>
  <cols>
    <col min="4" max="4" width="18.28515625" customWidth="1"/>
    <col min="5" max="6" width="12.7109375" customWidth="1"/>
    <col min="7" max="7" width="1.85546875" customWidth="1"/>
    <col min="8" max="10" width="12.7109375" customWidth="1"/>
  </cols>
  <sheetData>
    <row r="2" spans="4:10" x14ac:dyDescent="0.25">
      <c r="D2" s="217"/>
      <c r="E2" s="12"/>
      <c r="F2" s="12"/>
      <c r="G2" s="12"/>
      <c r="H2" s="214" t="s">
        <v>168</v>
      </c>
      <c r="I2" s="215"/>
      <c r="J2" s="216"/>
    </row>
    <row r="3" spans="4:10" s="2" customFormat="1" x14ac:dyDescent="0.25">
      <c r="D3" s="210" t="s">
        <v>172</v>
      </c>
      <c r="E3" s="203" t="s">
        <v>165</v>
      </c>
      <c r="F3" s="211" t="s">
        <v>167</v>
      </c>
      <c r="G3" s="203"/>
      <c r="H3" s="212" t="s">
        <v>171</v>
      </c>
      <c r="I3" s="203" t="s">
        <v>169</v>
      </c>
      <c r="J3" s="213" t="s">
        <v>170</v>
      </c>
    </row>
    <row r="4" spans="4:10" x14ac:dyDescent="0.25">
      <c r="D4" s="204" t="s">
        <v>0</v>
      </c>
      <c r="E4" s="5">
        <f>SUM(IS!M16,IS!N16)</f>
        <v>21233</v>
      </c>
      <c r="F4" s="209">
        <f>H4-E4</f>
        <v>50767</v>
      </c>
      <c r="G4" s="5"/>
      <c r="H4" s="208">
        <f>AVERAGE(I4:J4)</f>
        <v>72000</v>
      </c>
      <c r="I4" s="5">
        <v>66000</v>
      </c>
      <c r="J4" s="148">
        <v>78000</v>
      </c>
    </row>
    <row r="5" spans="4:10" x14ac:dyDescent="0.25">
      <c r="D5" s="204" t="s">
        <v>166</v>
      </c>
      <c r="E5" s="5">
        <f>SUM(IS!M75,IS!N75)</f>
        <v>3943</v>
      </c>
      <c r="F5" s="209">
        <f>H5-E5</f>
        <v>10557</v>
      </c>
      <c r="G5" s="5"/>
      <c r="H5" s="208">
        <f>AVERAGE(I5:J5)</f>
        <v>14500</v>
      </c>
      <c r="I5" s="5">
        <v>12000</v>
      </c>
      <c r="J5" s="148">
        <v>17000</v>
      </c>
    </row>
    <row r="6" spans="4:10" ht="6" customHeight="1" x14ac:dyDescent="0.25">
      <c r="D6" s="205"/>
      <c r="E6" s="206"/>
      <c r="F6" s="218"/>
      <c r="G6" s="206"/>
      <c r="H6" s="218"/>
      <c r="I6" s="206"/>
      <c r="J6" s="2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dsFormulaCache xmlns="urn:fdsformulacache" version="2" timestamp="1693577980"><![CDATA[{"PNG-CA^FF_DEBT(QTR_R,0)":14.161,"PNG-CA^FF_CASH_ST(QTR_R,0)":6.716,"PNG-CA^FF_COM_SHS_OUT_EPS_DIL(ANN_R,0)":201.214585,"PNG-CA^FG_PRICE(NOW)":0.445}]]></FdsFormulaCache>
</file>

<file path=customXml/itemProps1.xml><?xml version="1.0" encoding="utf-8"?>
<ds:datastoreItem xmlns:ds="http://schemas.openxmlformats.org/officeDocument/2006/customXml" ds:itemID="{BCAB51E6-17DB-44FB-A4C9-673330684A21}">
  <ds:schemaRefs>
    <ds:schemaRef ds:uri="urn:fdsformulacach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</vt:lpstr>
      <vt:lpstr>Valuation</vt:lpstr>
      <vt:lpstr>IS</vt:lpstr>
      <vt:lpstr>BS</vt:lpstr>
      <vt:lpstr>CF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2023-10-30T20:27:17Z</dcterms:created>
  <dcterms:modified xsi:type="dcterms:W3CDTF">2023-10-30T20:35:00Z</dcterms:modified>
</cp:coreProperties>
</file>